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75" windowWidth="18795" windowHeight="8010" activeTab="4"/>
  </bookViews>
  <sheets>
    <sheet name="waybill front" sheetId="1" r:id="rId1"/>
    <sheet name="waybill back" sheetId="2" r:id="rId2"/>
    <sheet name="waybilldata" sheetId="3" r:id="rId3"/>
    <sheet name="waybill 5" sheetId="4" r:id="rId4"/>
    <sheet name="spots" sheetId="5" r:id="rId5"/>
  </sheets>
  <definedNames>
    <definedName name="_xlnm._FilterDatabase" localSheetId="2" hidden="1">'waybilldata'!$B$9:$P$285</definedName>
    <definedName name="dr">#REF!</definedName>
    <definedName name="_xlnm.Print_Area" localSheetId="3">'waybill 5'!$A$1:$AP$16</definedName>
    <definedName name="_xlnm.Print_Area" localSheetId="1">'waybill back'!$A$1:$AP$16</definedName>
    <definedName name="_xlnm.Print_Area" localSheetId="0">'waybill front'!$A$1:$AP$16</definedName>
    <definedName name="Frachtsatz1">'waybilldata'!$A$1</definedName>
    <definedName name="Frachtsatz10">'waybilldata'!$A$4</definedName>
    <definedName name="Frachtsatz11">'waybilldata'!$B$4</definedName>
    <definedName name="Frachtsatz12">'waybilldata'!$C$4</definedName>
    <definedName name="Frachtsatz2">'waybilldata'!$B$1</definedName>
    <definedName name="Frachtsatz3">'waybilldata'!$C$1</definedName>
    <definedName name="Frachtsatz4">'waybilldata'!$A$2</definedName>
    <definedName name="Frachtsatz5">'waybilldata'!$B$2</definedName>
    <definedName name="Frachtsatz6">'waybilldata'!$C$2</definedName>
    <definedName name="Frachtsatz7">'waybilldata'!$A$3</definedName>
    <definedName name="Frachtsatz8">'waybilldata'!$B$3</definedName>
    <definedName name="Frachtsatz9">'waybilldata'!$C$3</definedName>
    <definedName name="G.J.Wilikers">'spots'!#REF!</definedName>
    <definedName name="weighing" localSheetId="3">'waybill 5'!#REF!</definedName>
    <definedName name="weighing" localSheetId="0">'waybill front'!#REF!</definedName>
  </definedNames>
  <calcPr fullCalcOnLoad="1"/>
</workbook>
</file>

<file path=xl/sharedStrings.xml><?xml version="1.0" encoding="utf-8"?>
<sst xmlns="http://schemas.openxmlformats.org/spreadsheetml/2006/main" count="373" uniqueCount="136">
  <si>
    <r>
      <t>To:</t>
    </r>
  </si>
  <si>
    <r>
      <t>Lading:</t>
    </r>
  </si>
  <si>
    <t>From:</t>
  </si>
  <si>
    <t>XM</t>
  </si>
  <si>
    <t>AAR</t>
  </si>
  <si>
    <t>Starting Location</t>
  </si>
  <si>
    <t>Destination 2</t>
  </si>
  <si>
    <t>Spot</t>
  </si>
  <si>
    <t>Lading</t>
  </si>
  <si>
    <t>Destination 3</t>
  </si>
  <si>
    <t>Destination 4</t>
  </si>
  <si>
    <t>Destination 1</t>
  </si>
  <si>
    <t>GB</t>
  </si>
  <si>
    <t>FM</t>
  </si>
  <si>
    <t>HM</t>
  </si>
  <si>
    <t>FC</t>
  </si>
  <si>
    <t>RP</t>
  </si>
  <si>
    <t xml:space="preserve"> Nr.</t>
  </si>
  <si>
    <t>TO</t>
  </si>
  <si>
    <t>to be weighed</t>
  </si>
  <si>
    <r>
      <t xml:space="preserve">12  </t>
    </r>
    <r>
      <rPr>
        <b/>
        <sz val="12"/>
        <rFont val="Arial"/>
        <family val="2"/>
      </rPr>
      <t>4-position waybills</t>
    </r>
    <r>
      <rPr>
        <sz val="12"/>
        <rFont val="Arial"/>
        <family val="2"/>
      </rPr>
      <t xml:space="preserve"> passen auf ein Blatt</t>
    </r>
  </si>
  <si>
    <t>um Längsachse drehen</t>
  </si>
  <si>
    <t>Warehouse</t>
  </si>
  <si>
    <t>Int. Falls</t>
  </si>
  <si>
    <t>Westport</t>
  </si>
  <si>
    <t>South Jct.</t>
  </si>
  <si>
    <t>River News</t>
  </si>
  <si>
    <t>Pier</t>
  </si>
  <si>
    <t>D.Orf.Bakery</t>
  </si>
  <si>
    <t>LOG</t>
  </si>
  <si>
    <t>Engine Shops</t>
  </si>
  <si>
    <t>EMPTY CAR ORDER</t>
  </si>
  <si>
    <t>SPECIAL ORDERS:</t>
  </si>
  <si>
    <t>AAR:</t>
  </si>
  <si>
    <t>CAR TYPE:</t>
  </si>
  <si>
    <t>SHIP TO:</t>
  </si>
  <si>
    <t>DATE.</t>
  </si>
  <si>
    <t>Special Waybill</t>
  </si>
  <si>
    <t>Car Type</t>
  </si>
  <si>
    <t>Harbor District</t>
  </si>
  <si>
    <t>Team track</t>
  </si>
  <si>
    <t>Engine facility</t>
  </si>
  <si>
    <t>Freight house</t>
  </si>
  <si>
    <t>Grain track</t>
  </si>
  <si>
    <t>Plywood District</t>
  </si>
  <si>
    <t>TG</t>
  </si>
  <si>
    <t>FB</t>
  </si>
  <si>
    <t>Interchange</t>
  </si>
  <si>
    <t>KWIK-E-MART</t>
  </si>
  <si>
    <t>Bulk Pier</t>
  </si>
  <si>
    <t>hier nur für Druck Änderungen</t>
  </si>
  <si>
    <t>Dairy</t>
  </si>
  <si>
    <t>LO</t>
  </si>
  <si>
    <t>RBL</t>
  </si>
  <si>
    <t>Bagel Bakery</t>
  </si>
  <si>
    <t>Town</t>
  </si>
  <si>
    <t>spot</t>
  </si>
  <si>
    <t>XP</t>
  </si>
  <si>
    <t>needed
cars</t>
  </si>
  <si>
    <t>Sand/Fuel track</t>
  </si>
  <si>
    <t>Station / Team track</t>
  </si>
  <si>
    <t>Cars at industries</t>
  </si>
  <si>
    <t>Westport Terminal RR</t>
  </si>
  <si>
    <t>Westport Grain</t>
  </si>
  <si>
    <t>Chemical</t>
  </si>
  <si>
    <t>Third Street Distr</t>
  </si>
  <si>
    <t>industry</t>
  </si>
  <si>
    <t>2001 - 2003</t>
  </si>
  <si>
    <t>Team track &amp; ramp</t>
  </si>
  <si>
    <t>2004, 2005</t>
  </si>
  <si>
    <t>King &amp; Sons coal</t>
  </si>
  <si>
    <t>McMurphy, Gate 1</t>
  </si>
  <si>
    <t xml:space="preserve">     Gate 5-7</t>
  </si>
  <si>
    <t>2012, 2013</t>
  </si>
  <si>
    <t>Oil, Team</t>
  </si>
  <si>
    <t>Crane</t>
  </si>
  <si>
    <t>Central Gas &amp; Supply</t>
  </si>
  <si>
    <t>Redwing Flour Mill</t>
  </si>
  <si>
    <t>Connery's Cannery</t>
  </si>
  <si>
    <t>Shops</t>
  </si>
  <si>
    <t>3011 - 3014</t>
  </si>
  <si>
    <t>3020 - 3022</t>
  </si>
  <si>
    <t>Engine shed</t>
  </si>
  <si>
    <t>Medusa Cement</t>
  </si>
  <si>
    <t>T</t>
  </si>
  <si>
    <t>BN Yard</t>
  </si>
  <si>
    <t>mty</t>
  </si>
  <si>
    <t>CN Yard</t>
  </si>
  <si>
    <t>waybills Summe</t>
  </si>
  <si>
    <t>spots holes</t>
  </si>
  <si>
    <t>S</t>
  </si>
  <si>
    <t>Richter's Brewery</t>
  </si>
  <si>
    <t>Grant's Grain Mill</t>
  </si>
  <si>
    <t>Road</t>
  </si>
  <si>
    <t>Number</t>
  </si>
  <si>
    <t>Producer</t>
  </si>
  <si>
    <t>Item #</t>
  </si>
  <si>
    <t>Boxcar</t>
  </si>
  <si>
    <t>Athearn</t>
  </si>
  <si>
    <t>Cov.Hopper</t>
  </si>
  <si>
    <t xml:space="preserve">3-Bay </t>
  </si>
  <si>
    <t>InterMountain</t>
  </si>
  <si>
    <t>Reefer</t>
  </si>
  <si>
    <t>Wood Bodied Wood E</t>
  </si>
  <si>
    <t>ALNX</t>
  </si>
  <si>
    <t>40117-13</t>
  </si>
  <si>
    <t xml:space="preserve"> </t>
  </si>
  <si>
    <t>ACWX</t>
  </si>
  <si>
    <t>098718</t>
  </si>
  <si>
    <t>Lgth ft</t>
  </si>
  <si>
    <r>
      <t xml:space="preserve">Wght </t>
    </r>
    <r>
      <rPr>
        <sz val="10"/>
        <rFont val="Arial"/>
        <family val="0"/>
      </rPr>
      <t xml:space="preserve"> g</t>
    </r>
  </si>
  <si>
    <t>AMC</t>
  </si>
  <si>
    <t>247 cars und   16 cabeese</t>
  </si>
  <si>
    <t>Color in cans</t>
  </si>
  <si>
    <t>Beverages</t>
  </si>
  <si>
    <t>Winnipeg</t>
  </si>
  <si>
    <t>Thunder Bay</t>
  </si>
  <si>
    <t>Seite 1+3</t>
  </si>
  <si>
    <t>Seite 3+4</t>
  </si>
  <si>
    <t>x</t>
  </si>
  <si>
    <t>y</t>
  </si>
  <si>
    <t>BN Interchange</t>
  </si>
  <si>
    <t xml:space="preserve">Diamond </t>
  </si>
  <si>
    <t>Valley</t>
  </si>
  <si>
    <t>Rot</t>
  </si>
  <si>
    <t>Schwarz</t>
  </si>
  <si>
    <t>Braun</t>
  </si>
  <si>
    <t>Grün</t>
  </si>
  <si>
    <t>Gelb</t>
  </si>
  <si>
    <t>Blau</t>
  </si>
  <si>
    <t xml:space="preserve"> entspricht Kanada</t>
  </si>
  <si>
    <t xml:space="preserve"> entspricht USA-Südost </t>
  </si>
  <si>
    <t xml:space="preserve"> entspricht USA-Nordost </t>
  </si>
  <si>
    <t xml:space="preserve"> entspricht USA-zentral/Great Lakes, Chicago, bis in den Süden ~ New Orleans </t>
  </si>
  <si>
    <t xml:space="preserve"> entspricht USA-Nordwest </t>
  </si>
  <si>
    <t xml:space="preserve"> entspricht USA-Südwest und Mexiko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</si>
</sst>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#,##0.00\ &quot;€&quot;"/>
  </numFmts>
  <fonts count="2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sz val="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16"/>
      <name val="Arial"/>
      <family val="2"/>
    </font>
    <font>
      <sz val="10"/>
      <color indexed="57"/>
      <name val="Arial"/>
      <family val="2"/>
    </font>
    <font>
      <sz val="9"/>
      <color indexed="57"/>
      <name val="Arial"/>
      <family val="2"/>
    </font>
    <font>
      <sz val="8"/>
      <color indexed="57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2"/>
      <color indexed="57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20"/>
      <color indexed="10"/>
      <name val="Arial"/>
      <family val="2"/>
    </font>
    <font>
      <sz val="10"/>
      <name val="Arial Unicode MS"/>
      <family val="0"/>
    </font>
    <font>
      <sz val="11"/>
      <name val="Arial"/>
      <family val="2"/>
    </font>
    <font>
      <sz val="10"/>
      <color indexed="16"/>
      <name val="Arial"/>
      <family val="0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2" xfId="0" applyFont="1" applyBorder="1" applyAlignment="1">
      <alignment horizontal="center" vertical="center" textRotation="180"/>
    </xf>
    <xf numFmtId="0" fontId="13" fillId="0" borderId="2" xfId="0" applyFont="1" applyBorder="1" applyAlignment="1">
      <alignment/>
    </xf>
    <xf numFmtId="0" fontId="15" fillId="0" borderId="2" xfId="0" applyFont="1" applyBorder="1" applyAlignment="1">
      <alignment vertical="center" textRotation="180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 vertical="center" textRotation="180"/>
    </xf>
    <xf numFmtId="0" fontId="0" fillId="0" borderId="3" xfId="0" applyBorder="1" applyAlignment="1">
      <alignment vertical="top" textRotation="180"/>
    </xf>
    <xf numFmtId="0" fontId="1" fillId="0" borderId="1" xfId="0" applyFont="1" applyBorder="1" applyAlignment="1">
      <alignment horizontal="center" vertical="center" textRotation="90"/>
    </xf>
    <xf numFmtId="0" fontId="15" fillId="0" borderId="1" xfId="0" applyFont="1" applyBorder="1" applyAlignment="1">
      <alignment vertical="center" textRotation="90"/>
    </xf>
    <xf numFmtId="0" fontId="13" fillId="0" borderId="1" xfId="0" applyFont="1" applyBorder="1" applyAlignment="1">
      <alignment/>
    </xf>
    <xf numFmtId="0" fontId="8" fillId="0" borderId="1" xfId="0" applyFont="1" applyBorder="1" applyAlignment="1">
      <alignment horizontal="center" vertical="center" textRotation="90"/>
    </xf>
    <xf numFmtId="0" fontId="0" fillId="2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6" xfId="0" applyFont="1" applyBorder="1" applyAlignment="1">
      <alignment horizontal="center" vertical="center" textRotation="90"/>
    </xf>
    <xf numFmtId="0" fontId="9" fillId="0" borderId="7" xfId="0" applyFont="1" applyBorder="1" applyAlignment="1">
      <alignment/>
    </xf>
    <xf numFmtId="0" fontId="9" fillId="0" borderId="0" xfId="0" applyFont="1" applyAlignment="1">
      <alignment/>
    </xf>
    <xf numFmtId="0" fontId="15" fillId="0" borderId="1" xfId="0" applyFont="1" applyBorder="1" applyAlignment="1">
      <alignment/>
    </xf>
    <xf numFmtId="0" fontId="15" fillId="0" borderId="2" xfId="0" applyFont="1" applyBorder="1" applyAlignment="1">
      <alignment/>
    </xf>
    <xf numFmtId="0" fontId="9" fillId="0" borderId="3" xfId="0" applyFont="1" applyBorder="1" applyAlignment="1">
      <alignment vertical="top" textRotation="180"/>
    </xf>
    <xf numFmtId="0" fontId="11" fillId="0" borderId="8" xfId="0" applyFont="1" applyBorder="1" applyAlignment="1">
      <alignment horizontal="center" vertical="center" textRotation="180"/>
    </xf>
    <xf numFmtId="0" fontId="9" fillId="0" borderId="0" xfId="0" applyFont="1" applyAlignment="1">
      <alignment/>
    </xf>
    <xf numFmtId="0" fontId="11" fillId="0" borderId="7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 textRotation="180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vertical="center" textRotation="180"/>
    </xf>
    <xf numFmtId="0" fontId="1" fillId="0" borderId="0" xfId="0" applyFont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center" textRotation="90"/>
    </xf>
    <xf numFmtId="0" fontId="15" fillId="0" borderId="0" xfId="0" applyFont="1" applyBorder="1" applyAlignment="1">
      <alignment vertical="center" textRotation="90"/>
    </xf>
    <xf numFmtId="0" fontId="8" fillId="0" borderId="0" xfId="0" applyFont="1" applyBorder="1" applyAlignment="1">
      <alignment horizontal="center" vertical="center" textRotation="90"/>
    </xf>
    <xf numFmtId="0" fontId="11" fillId="0" borderId="3" xfId="0" applyFont="1" applyBorder="1" applyAlignment="1">
      <alignment horizontal="center" vertical="center" textRotation="180"/>
    </xf>
    <xf numFmtId="0" fontId="0" fillId="0" borderId="0" xfId="0" applyBorder="1" applyAlignment="1">
      <alignment vertical="top" textRotation="180"/>
    </xf>
    <xf numFmtId="0" fontId="11" fillId="0" borderId="1" xfId="0" applyFont="1" applyBorder="1" applyAlignment="1">
      <alignment horizontal="center" vertical="center" textRotation="180"/>
    </xf>
    <xf numFmtId="0" fontId="11" fillId="0" borderId="2" xfId="0" applyFont="1" applyBorder="1" applyAlignment="1">
      <alignment horizontal="center" vertical="center" textRotation="90"/>
    </xf>
    <xf numFmtId="0" fontId="0" fillId="0" borderId="2" xfId="0" applyBorder="1" applyAlignment="1">
      <alignment textRotation="180"/>
    </xf>
    <xf numFmtId="0" fontId="0" fillId="0" borderId="0" xfId="0" applyBorder="1" applyAlignment="1">
      <alignment textRotation="180"/>
    </xf>
    <xf numFmtId="0" fontId="0" fillId="0" borderId="1" xfId="0" applyBorder="1" applyAlignment="1">
      <alignment textRotation="180"/>
    </xf>
    <xf numFmtId="0" fontId="0" fillId="0" borderId="0" xfId="0" applyAlignment="1">
      <alignment horizontal="center" textRotation="180"/>
    </xf>
    <xf numFmtId="0" fontId="0" fillId="0" borderId="0" xfId="0" applyAlignment="1">
      <alignment textRotation="180"/>
    </xf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6" borderId="4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 vertical="center" textRotation="90"/>
    </xf>
    <xf numFmtId="0" fontId="14" fillId="7" borderId="2" xfId="0" applyFont="1" applyFill="1" applyBorder="1" applyAlignment="1">
      <alignment horizontal="right" vertical="center" textRotation="90"/>
    </xf>
    <xf numFmtId="0" fontId="7" fillId="7" borderId="2" xfId="0" applyFont="1" applyFill="1" applyBorder="1" applyAlignment="1">
      <alignment horizontal="center" vertical="center" textRotation="90"/>
    </xf>
    <xf numFmtId="0" fontId="0" fillId="7" borderId="2" xfId="0" applyFill="1" applyBorder="1" applyAlignment="1">
      <alignment/>
    </xf>
    <xf numFmtId="0" fontId="0" fillId="7" borderId="0" xfId="0" applyFill="1" applyBorder="1" applyAlignment="1">
      <alignment/>
    </xf>
    <xf numFmtId="0" fontId="14" fillId="7" borderId="0" xfId="0" applyFont="1" applyFill="1" applyBorder="1" applyAlignment="1">
      <alignment horizontal="right"/>
    </xf>
    <xf numFmtId="0" fontId="0" fillId="7" borderId="0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1" xfId="0" applyFill="1" applyBorder="1" applyAlignment="1">
      <alignment/>
    </xf>
    <xf numFmtId="0" fontId="13" fillId="7" borderId="1" xfId="0" applyFont="1" applyFill="1" applyBorder="1" applyAlignment="1">
      <alignment/>
    </xf>
    <xf numFmtId="0" fontId="11" fillId="7" borderId="6" xfId="0" applyFont="1" applyFill="1" applyBorder="1" applyAlignment="1">
      <alignment horizontal="center" vertical="center" textRotation="90"/>
    </xf>
    <xf numFmtId="0" fontId="1" fillId="7" borderId="2" xfId="0" applyFont="1" applyFill="1" applyBorder="1" applyAlignment="1">
      <alignment horizontal="center" vertical="center" textRotation="180"/>
    </xf>
    <xf numFmtId="0" fontId="1" fillId="7" borderId="7" xfId="0" applyFont="1" applyFill="1" applyBorder="1" applyAlignment="1">
      <alignment textRotation="90" wrapText="1"/>
    </xf>
    <xf numFmtId="0" fontId="9" fillId="7" borderId="3" xfId="0" applyFont="1" applyFill="1" applyBorder="1" applyAlignment="1">
      <alignment vertical="top" textRotation="180"/>
    </xf>
    <xf numFmtId="0" fontId="1" fillId="7" borderId="1" xfId="0" applyFont="1" applyFill="1" applyBorder="1" applyAlignment="1">
      <alignment horizontal="center" vertical="center" textRotation="90"/>
    </xf>
    <xf numFmtId="0" fontId="11" fillId="7" borderId="8" xfId="0" applyFont="1" applyFill="1" applyBorder="1" applyAlignment="1">
      <alignment horizontal="center" vertical="center" textRotation="180"/>
    </xf>
    <xf numFmtId="0" fontId="10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2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0" fontId="17" fillId="4" borderId="0" xfId="0" applyFont="1" applyFill="1" applyAlignment="1">
      <alignment horizontal="center"/>
    </xf>
    <xf numFmtId="0" fontId="2" fillId="0" borderId="2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9" xfId="0" applyFont="1" applyBorder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25" fillId="15" borderId="0" xfId="0" applyFont="1" applyFill="1" applyAlignment="1">
      <alignment horizontal="center"/>
    </xf>
    <xf numFmtId="0" fontId="0" fillId="4" borderId="5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left"/>
    </xf>
    <xf numFmtId="177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8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right"/>
    </xf>
    <xf numFmtId="17" fontId="0" fillId="0" borderId="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15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left"/>
    </xf>
    <xf numFmtId="0" fontId="8" fillId="0" borderId="7" xfId="0" applyFont="1" applyBorder="1" applyAlignment="1">
      <alignment textRotation="90"/>
    </xf>
    <xf numFmtId="0" fontId="0" fillId="7" borderId="0" xfId="0" applyFill="1" applyBorder="1" applyAlignment="1">
      <alignment/>
    </xf>
    <xf numFmtId="0" fontId="0" fillId="7" borderId="0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0" fillId="9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14" fillId="0" borderId="0" xfId="0" applyFont="1" applyBorder="1" applyAlignment="1">
      <alignment horizontal="left" vertical="center" textRotation="180"/>
    </xf>
    <xf numFmtId="0" fontId="14" fillId="0" borderId="1" xfId="0" applyFont="1" applyBorder="1" applyAlignment="1">
      <alignment horizontal="left" vertical="center" textRotation="180"/>
    </xf>
    <xf numFmtId="0" fontId="0" fillId="0" borderId="1" xfId="0" applyBorder="1" applyAlignment="1">
      <alignment horizontal="center"/>
    </xf>
    <xf numFmtId="0" fontId="15" fillId="0" borderId="0" xfId="0" applyFont="1" applyBorder="1" applyAlignment="1">
      <alignment horizontal="center" vertical="center" textRotation="180"/>
    </xf>
    <xf numFmtId="0" fontId="15" fillId="0" borderId="0" xfId="0" applyFont="1" applyBorder="1" applyAlignment="1">
      <alignment/>
    </xf>
    <xf numFmtId="0" fontId="15" fillId="0" borderId="1" xfId="0" applyFont="1" applyBorder="1" applyAlignment="1">
      <alignment/>
    </xf>
    <xf numFmtId="0" fontId="0" fillId="0" borderId="0" xfId="0" applyFont="1" applyFill="1" applyAlignment="1">
      <alignment/>
    </xf>
    <xf numFmtId="0" fontId="10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7" fillId="16" borderId="0" xfId="0" applyFont="1" applyFill="1" applyAlignment="1">
      <alignment horizontal="center"/>
    </xf>
    <xf numFmtId="0" fontId="2" fillId="17" borderId="0" xfId="0" applyFont="1" applyFill="1" applyAlignment="1">
      <alignment horizontal="center"/>
    </xf>
    <xf numFmtId="0" fontId="27" fillId="18" borderId="0" xfId="0" applyFont="1" applyFill="1" applyAlignment="1">
      <alignment horizontal="center"/>
    </xf>
    <xf numFmtId="0" fontId="28" fillId="6" borderId="0" xfId="0" applyFont="1" applyFill="1" applyAlignment="1">
      <alignment horizontal="center"/>
    </xf>
    <xf numFmtId="0" fontId="0" fillId="7" borderId="0" xfId="0" applyFont="1" applyFill="1" applyBorder="1" applyAlignment="1">
      <alignment horizontal="center" vertical="center" textRotation="90"/>
    </xf>
    <xf numFmtId="0" fontId="0" fillId="7" borderId="1" xfId="0" applyFont="1" applyFill="1" applyBorder="1" applyAlignment="1">
      <alignment/>
    </xf>
    <xf numFmtId="0" fontId="0" fillId="7" borderId="0" xfId="0" applyFill="1" applyBorder="1" applyAlignment="1">
      <alignment textRotation="90"/>
    </xf>
    <xf numFmtId="0" fontId="0" fillId="7" borderId="1" xfId="0" applyFill="1" applyBorder="1" applyAlignment="1">
      <alignment/>
    </xf>
    <xf numFmtId="0" fontId="0" fillId="7" borderId="0" xfId="0" applyFont="1" applyFill="1" applyBorder="1" applyAlignment="1">
      <alignment horizontal="center" textRotation="90"/>
    </xf>
    <xf numFmtId="0" fontId="0" fillId="7" borderId="1" xfId="0" applyFill="1" applyBorder="1" applyAlignment="1">
      <alignment horizontal="center" textRotation="90"/>
    </xf>
    <xf numFmtId="0" fontId="0" fillId="0" borderId="3" xfId="0" applyBorder="1" applyAlignment="1">
      <alignment textRotation="90"/>
    </xf>
    <xf numFmtId="0" fontId="0" fillId="0" borderId="8" xfId="0" applyBorder="1" applyAlignment="1">
      <alignment textRotation="90"/>
    </xf>
    <xf numFmtId="0" fontId="2" fillId="0" borderId="0" xfId="0" applyFont="1" applyBorder="1" applyAlignment="1">
      <alignment horizontal="center" vertical="center" textRotation="180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0" xfId="0" applyFont="1" applyBorder="1" applyAlignment="1">
      <alignment horizontal="center" vertical="center" textRotation="180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7" fillId="0" borderId="0" xfId="0" applyFont="1" applyBorder="1" applyAlignment="1">
      <alignment horizontal="center" vertical="center" textRotation="180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 textRotation="180"/>
    </xf>
    <xf numFmtId="0" fontId="20" fillId="0" borderId="0" xfId="0" applyFont="1" applyBorder="1" applyAlignment="1">
      <alignment horizontal="center" vertical="top"/>
    </xf>
    <xf numFmtId="0" fontId="15" fillId="7" borderId="2" xfId="0" applyFont="1" applyFill="1" applyBorder="1" applyAlignment="1">
      <alignment horizontal="center" vertical="center" textRotation="90"/>
    </xf>
    <xf numFmtId="0" fontId="15" fillId="7" borderId="0" xfId="0" applyFont="1" applyFill="1" applyBorder="1" applyAlignment="1">
      <alignment/>
    </xf>
    <xf numFmtId="0" fontId="10" fillId="7" borderId="14" xfId="0" applyFont="1" applyFill="1" applyBorder="1" applyAlignment="1">
      <alignment horizontal="center" vertical="center" textRotation="90"/>
    </xf>
    <xf numFmtId="0" fontId="18" fillId="7" borderId="15" xfId="0" applyFont="1" applyFill="1" applyBorder="1" applyAlignment="1">
      <alignment textRotation="90"/>
    </xf>
    <xf numFmtId="0" fontId="18" fillId="7" borderId="16" xfId="0" applyFont="1" applyFill="1" applyBorder="1" applyAlignment="1">
      <alignment textRotation="90"/>
    </xf>
    <xf numFmtId="0" fontId="6" fillId="7" borderId="2" xfId="0" applyFont="1" applyFill="1" applyBorder="1" applyAlignment="1">
      <alignment horizontal="center" vertical="center" textRotation="90"/>
    </xf>
    <xf numFmtId="0" fontId="12" fillId="7" borderId="0" xfId="0" applyFont="1" applyFill="1" applyBorder="1" applyAlignment="1">
      <alignment/>
    </xf>
    <xf numFmtId="0" fontId="6" fillId="0" borderId="2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textRotation="90"/>
    </xf>
    <xf numFmtId="0" fontId="0" fillId="0" borderId="1" xfId="0" applyFont="1" applyBorder="1" applyAlignment="1">
      <alignment horizontal="center" textRotation="90"/>
    </xf>
    <xf numFmtId="0" fontId="7" fillId="0" borderId="2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0" fillId="0" borderId="17" xfId="0" applyFont="1" applyBorder="1" applyAlignment="1">
      <alignment horizontal="center" vertical="top" textRotation="180"/>
    </xf>
    <xf numFmtId="0" fontId="0" fillId="0" borderId="3" xfId="0" applyFont="1" applyBorder="1" applyAlignment="1">
      <alignment horizontal="center" vertical="top" textRotation="180"/>
    </xf>
    <xf numFmtId="0" fontId="7" fillId="0" borderId="1" xfId="0" applyFont="1" applyBorder="1" applyAlignment="1">
      <alignment horizontal="center" vertical="center" textRotation="180"/>
    </xf>
    <xf numFmtId="0" fontId="15" fillId="0" borderId="1" xfId="0" applyFont="1" applyBorder="1" applyAlignment="1">
      <alignment horizontal="center" vertical="center" textRotation="180"/>
    </xf>
    <xf numFmtId="0" fontId="2" fillId="0" borderId="1" xfId="0" applyFont="1" applyBorder="1" applyAlignment="1">
      <alignment horizontal="center" vertical="center" textRotation="180"/>
    </xf>
    <xf numFmtId="0" fontId="6" fillId="0" borderId="1" xfId="0" applyFont="1" applyBorder="1" applyAlignment="1">
      <alignment horizontal="center" vertical="center" textRotation="180"/>
    </xf>
    <xf numFmtId="0" fontId="0" fillId="0" borderId="7" xfId="0" applyFont="1" applyBorder="1" applyAlignment="1">
      <alignment horizontal="center" textRotation="90"/>
    </xf>
    <xf numFmtId="0" fontId="0" fillId="0" borderId="18" xfId="0" applyFont="1" applyBorder="1" applyAlignment="1">
      <alignment horizontal="center" textRotation="90"/>
    </xf>
    <xf numFmtId="0" fontId="21" fillId="0" borderId="0" xfId="0" applyFont="1" applyBorder="1" applyAlignment="1">
      <alignment horizontal="center" vertical="center" textRotation="180"/>
    </xf>
    <xf numFmtId="0" fontId="21" fillId="0" borderId="1" xfId="0" applyFont="1" applyBorder="1" applyAlignment="1">
      <alignment horizontal="center" vertical="center" textRotation="180"/>
    </xf>
    <xf numFmtId="0" fontId="0" fillId="0" borderId="2" xfId="0" applyFont="1" applyBorder="1" applyAlignment="1">
      <alignment horizontal="center" vertical="top" textRotation="180"/>
    </xf>
    <xf numFmtId="0" fontId="0" fillId="0" borderId="0" xfId="0" applyFont="1" applyBorder="1" applyAlignment="1">
      <alignment horizontal="center" vertical="top"/>
    </xf>
    <xf numFmtId="0" fontId="14" fillId="0" borderId="2" xfId="0" applyFont="1" applyBorder="1" applyAlignment="1">
      <alignment horizontal="right" vertical="center" textRotation="90"/>
    </xf>
    <xf numFmtId="0" fontId="14" fillId="0" borderId="0" xfId="0" applyFont="1" applyBorder="1" applyAlignment="1">
      <alignment horizontal="right" vertical="center" textRotation="90"/>
    </xf>
    <xf numFmtId="0" fontId="15" fillId="0" borderId="2" xfId="0" applyFont="1" applyBorder="1" applyAlignment="1">
      <alignment horizontal="center" vertical="center" textRotation="90"/>
    </xf>
    <xf numFmtId="0" fontId="15" fillId="0" borderId="0" xfId="0" applyFont="1" applyBorder="1" applyAlignment="1">
      <alignment horizontal="center" vertical="center" textRotation="90"/>
    </xf>
    <xf numFmtId="0" fontId="14" fillId="0" borderId="2" xfId="0" applyFont="1" applyBorder="1" applyAlignment="1">
      <alignment horizontal="center" vertical="center" textRotation="90"/>
    </xf>
    <xf numFmtId="0" fontId="14" fillId="0" borderId="0" xfId="0" applyFont="1" applyBorder="1" applyAlignment="1">
      <alignment horizontal="center" vertical="center" textRotation="90"/>
    </xf>
    <xf numFmtId="0" fontId="17" fillId="0" borderId="0" xfId="0" applyFont="1" applyBorder="1" applyAlignment="1">
      <alignment horizontal="center" vertical="top" textRotation="90"/>
    </xf>
    <xf numFmtId="0" fontId="0" fillId="0" borderId="3" xfId="0" applyFont="1" applyBorder="1" applyAlignment="1">
      <alignment horizontal="center" vertical="top"/>
    </xf>
    <xf numFmtId="0" fontId="0" fillId="0" borderId="0" xfId="0" applyBorder="1" applyAlignment="1">
      <alignment textRotation="90"/>
    </xf>
    <xf numFmtId="0" fontId="0" fillId="0" borderId="0" xfId="0" applyBorder="1" applyAlignment="1">
      <alignment textRotation="180"/>
    </xf>
    <xf numFmtId="0" fontId="21" fillId="7" borderId="7" xfId="0" applyFont="1" applyFill="1" applyBorder="1" applyAlignment="1">
      <alignment horizontal="center" textRotation="90"/>
    </xf>
    <xf numFmtId="0" fontId="21" fillId="7" borderId="18" xfId="0" applyFont="1" applyFill="1" applyBorder="1" applyAlignment="1">
      <alignment horizontal="center" textRotation="90"/>
    </xf>
    <xf numFmtId="0" fontId="7" fillId="0" borderId="2" xfId="0" applyFont="1" applyBorder="1" applyAlignment="1">
      <alignment vertical="center" textRotation="90"/>
    </xf>
    <xf numFmtId="0" fontId="7" fillId="0" borderId="0" xfId="0" applyFont="1" applyBorder="1" applyAlignment="1">
      <alignment vertical="center" textRotation="90"/>
    </xf>
    <xf numFmtId="0" fontId="6" fillId="7" borderId="0" xfId="0" applyFont="1" applyFill="1" applyBorder="1" applyAlignment="1">
      <alignment horizontal="center" vertical="center" textRotation="180"/>
    </xf>
    <xf numFmtId="0" fontId="6" fillId="7" borderId="1" xfId="0" applyFont="1" applyFill="1" applyBorder="1" applyAlignment="1">
      <alignment horizontal="center" vertical="center" textRotation="180"/>
    </xf>
    <xf numFmtId="0" fontId="6" fillId="7" borderId="0" xfId="0" applyFont="1" applyFill="1" applyBorder="1" applyAlignment="1">
      <alignment horizontal="center" vertical="center" textRotation="90"/>
    </xf>
    <xf numFmtId="0" fontId="5" fillId="7" borderId="17" xfId="0" applyFont="1" applyFill="1" applyBorder="1" applyAlignment="1">
      <alignment horizontal="center" vertical="top" textRotation="180"/>
    </xf>
    <xf numFmtId="0" fontId="5" fillId="7" borderId="3" xfId="0" applyFont="1" applyFill="1" applyBorder="1" applyAlignment="1">
      <alignment horizontal="center" vertical="top" textRotation="180"/>
    </xf>
    <xf numFmtId="0" fontId="17" fillId="0" borderId="0" xfId="0" applyFont="1" applyBorder="1" applyAlignment="1">
      <alignment textRotation="180"/>
    </xf>
    <xf numFmtId="0" fontId="17" fillId="0" borderId="0" xfId="0" applyFont="1" applyBorder="1" applyAlignment="1">
      <alignment horizontal="center" textRotation="180"/>
    </xf>
    <xf numFmtId="0" fontId="0" fillId="0" borderId="0" xfId="0" applyAlignment="1">
      <alignment horizontal="center" vertical="center" textRotation="9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ont>
        <b/>
        <i val="0"/>
        <color rgb="FFFF0000"/>
      </font>
      <border/>
    </dxf>
    <dxf>
      <font>
        <b/>
        <i val="0"/>
        <color rgb="FF3366FF"/>
      </font>
      <fill>
        <patternFill>
          <bgColor rgb="FFFFFF00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3"/>
  <sheetViews>
    <sheetView workbookViewId="0" topLeftCell="A1">
      <selection activeCell="AQ20" sqref="AQ20"/>
    </sheetView>
  </sheetViews>
  <sheetFormatPr defaultColWidth="11.421875" defaultRowHeight="12.75"/>
  <cols>
    <col min="1" max="1" width="3.7109375" style="2" customWidth="1"/>
    <col min="2" max="2" width="2.7109375" style="1" customWidth="1"/>
    <col min="3" max="3" width="2.28125" style="3" customWidth="1"/>
    <col min="4" max="4" width="3.7109375" style="8" customWidth="1"/>
    <col min="5" max="5" width="1.7109375" style="9" customWidth="1"/>
    <col min="6" max="6" width="2.421875" style="1" customWidth="1"/>
    <col min="7" max="7" width="2.7109375" style="2" customWidth="1"/>
    <col min="8" max="8" width="2.7109375" style="57" customWidth="1"/>
    <col min="9" max="9" width="2.421875" style="0" customWidth="1"/>
    <col min="10" max="10" width="1.7109375" style="10" customWidth="1"/>
    <col min="11" max="11" width="3.7109375" style="10" customWidth="1"/>
    <col min="12" max="12" width="2.28125" style="0" customWidth="1"/>
    <col min="13" max="13" width="2.7109375" style="0" customWidth="1"/>
    <col min="14" max="14" width="3.7109375" style="0" customWidth="1"/>
    <col min="15" max="15" width="3.7109375" style="2" customWidth="1"/>
    <col min="16" max="16" width="2.7109375" style="1" customWidth="1"/>
    <col min="17" max="17" width="2.28125" style="3" customWidth="1"/>
    <col min="18" max="18" width="3.7109375" style="8" customWidth="1"/>
    <col min="19" max="19" width="1.7109375" style="32" customWidth="1"/>
    <col min="20" max="20" width="2.421875" style="1" customWidth="1"/>
    <col min="21" max="21" width="2.7109375" style="2" customWidth="1"/>
    <col min="22" max="22" width="2.7109375" style="57" customWidth="1"/>
    <col min="23" max="23" width="2.421875" style="0" customWidth="1"/>
    <col min="24" max="24" width="1.7109375" style="33" customWidth="1"/>
    <col min="25" max="25" width="3.7109375" style="10" customWidth="1"/>
    <col min="26" max="26" width="2.28125" style="0" customWidth="1"/>
    <col min="27" max="27" width="2.7109375" style="0" customWidth="1"/>
    <col min="28" max="28" width="3.7109375" style="0" customWidth="1"/>
    <col min="29" max="29" width="3.7109375" style="2" customWidth="1"/>
    <col min="30" max="30" width="2.7109375" style="1" customWidth="1"/>
    <col min="31" max="31" width="2.28125" style="3" customWidth="1"/>
    <col min="32" max="32" width="3.7109375" style="8" customWidth="1"/>
    <col min="33" max="33" width="1.7109375" style="32" customWidth="1"/>
    <col min="34" max="34" width="2.421875" style="1" customWidth="1"/>
    <col min="35" max="35" width="2.7109375" style="58" customWidth="1"/>
    <col min="36" max="36" width="2.7109375" style="1" customWidth="1"/>
    <col min="37" max="37" width="2.421875" style="0" customWidth="1"/>
    <col min="38" max="38" width="1.7109375" style="33" customWidth="1"/>
    <col min="39" max="39" width="3.7109375" style="10" customWidth="1"/>
    <col min="40" max="40" width="2.28125" style="0" customWidth="1"/>
    <col min="41" max="41" width="2.7109375" style="0" customWidth="1"/>
    <col min="42" max="42" width="3.7109375" style="0" customWidth="1"/>
    <col min="44" max="44" width="2.7109375" style="0" customWidth="1"/>
  </cols>
  <sheetData>
    <row r="1" spans="1:44" ht="24.75" customHeight="1">
      <c r="A1" s="34">
        <v>1</v>
      </c>
      <c r="B1" s="210">
        <f>IF(ISERROR(MATCH(Frachtsatz1,waybilldata!$A:$A,0)),"",VLOOKUP(Frachtsatz1,waybilldata!$A:$P,6))</f>
        <v>0</v>
      </c>
      <c r="C1" s="198">
        <f>IF(ISERROR(MATCH(Frachtsatz1,waybilldata!$A:$A,0)),"",VLOOKUP(Frachtsatz1,waybilldata!$A:$P,7))</f>
        <v>0</v>
      </c>
      <c r="D1" s="233" t="str">
        <f>IF(ISERROR(MATCH(Frachtsatz1,waybilldata!$A:$A,0)),"",VLOOKUP(Frachtsatz1,waybilldata!$A:$P,9))</f>
        <v>x</v>
      </c>
      <c r="E1" s="231"/>
      <c r="F1" s="215">
        <f>IF(ISERROR(MATCH(Frachtsatz1,waybilldata!$A:$A,0)),"",VLOOKUP(Frachtsatz1,waybilldata!$A:$P,5))</f>
        <v>0</v>
      </c>
      <c r="G1" s="7"/>
      <c r="H1" s="54"/>
      <c r="I1" s="11" t="s">
        <v>1</v>
      </c>
      <c r="J1" s="12"/>
      <c r="K1" s="13" t="s">
        <v>2</v>
      </c>
      <c r="L1" s="14"/>
      <c r="M1" s="15" t="s">
        <v>0</v>
      </c>
      <c r="N1" s="227" t="str">
        <f>IF(ISERROR(MATCH(Frachtsatz1,waybilldata!$A:$A,0)),"",VLOOKUP(Frachtsatz1,waybilldata!$A:$P,2))</f>
        <v>RP</v>
      </c>
      <c r="O1" s="34">
        <v>1</v>
      </c>
      <c r="P1" s="210">
        <f>IF(ISERROR(MATCH(Frachtsatz2,waybilldata!$A:$A,0)),"",VLOOKUP(Frachtsatz2,waybilldata!$A:$P,6))</f>
        <v>0</v>
      </c>
      <c r="Q1" s="198">
        <f>IF(ISERROR(MATCH(Frachtsatz2,waybilldata!$A:$A,0)),"",VLOOKUP(Frachtsatz2,waybilldata!$A:$P,7))</f>
        <v>0</v>
      </c>
      <c r="R1" s="229">
        <f>IF(ISERROR(MATCH(Frachtsatz2,waybilldata!$A:$A,0)),"",VLOOKUP(Frachtsatz2,waybilldata!$A:$P,9))</f>
        <v>0</v>
      </c>
      <c r="S1" s="231"/>
      <c r="T1" s="215">
        <f>IF(ISERROR(MATCH(Frachtsatz2,waybilldata!$A:$A,0)),"",VLOOKUP(Frachtsatz2,waybilldata!$A:$P,5))</f>
        <v>0</v>
      </c>
      <c r="U1" s="7"/>
      <c r="V1" s="54"/>
      <c r="W1" s="11" t="s">
        <v>1</v>
      </c>
      <c r="X1" s="38"/>
      <c r="Y1" s="13" t="s">
        <v>2</v>
      </c>
      <c r="Z1" s="14"/>
      <c r="AA1" s="15" t="s">
        <v>0</v>
      </c>
      <c r="AB1" s="217" t="str">
        <f>IF(ISERROR(MATCH(Frachtsatz2,waybilldata!$A:$A,0)),"",VLOOKUP(Frachtsatz2,waybilldata!$A:$P,2))</f>
        <v>LOG</v>
      </c>
      <c r="AC1" s="53">
        <v>1</v>
      </c>
      <c r="AD1" s="210" t="str">
        <f>IF(ISERROR(MATCH(Frachtsatz3,waybilldata!$A:$A,0)),"",VLOOKUP(Frachtsatz3,waybilldata!$A:$P,6))</f>
        <v>Westport</v>
      </c>
      <c r="AE1" s="198" t="str">
        <f>IF(ISERROR(MATCH(Frachtsatz3,waybilldata!$A:$A,0)),"",VLOOKUP(Frachtsatz3,waybilldata!$A:$P,7))</f>
        <v>Chemical</v>
      </c>
      <c r="AF1" s="229" t="str">
        <f>IF(ISERROR(MATCH(Frachtsatz3,waybilldata!$A:$A,0)),"",VLOOKUP(Frachtsatz3,waybilldata!$A:$P,9))</f>
        <v>Int. Falls</v>
      </c>
      <c r="AG1" s="231"/>
      <c r="AH1" s="215" t="str">
        <f>IF(ISERROR(MATCH(Frachtsatz3,waybilldata!$A:$A,0)),"",VLOOKUP(Frachtsatz3,waybilldata!$A:$P,5))</f>
        <v>Color in cans</v>
      </c>
      <c r="AI1" s="54"/>
      <c r="AJ1" s="7"/>
      <c r="AK1" s="11" t="s">
        <v>1</v>
      </c>
      <c r="AL1" s="38"/>
      <c r="AM1" s="13" t="s">
        <v>2</v>
      </c>
      <c r="AN1" s="14"/>
      <c r="AO1" s="15" t="s">
        <v>0</v>
      </c>
      <c r="AP1" s="217" t="str">
        <f>IF(ISERROR(MATCH(Frachtsatz3,waybilldata!$A:$A,0)),"",VLOOKUP(Frachtsatz3,waybilldata!$A:$P,2))</f>
        <v>XM</v>
      </c>
      <c r="AR1" s="15"/>
    </row>
    <row r="2" spans="1:46" ht="42.75" customHeight="1">
      <c r="A2" s="154" t="str">
        <f>IF(ISERROR(MATCH(Frachtsatz1,waybilldata!$A:$A,0)),"",VLOOKUP(Frachtsatz1,waybilldata!$A:$P,3))</f>
        <v>ACWX 098718</v>
      </c>
      <c r="B2" s="211"/>
      <c r="C2" s="212"/>
      <c r="D2" s="234"/>
      <c r="E2" s="232"/>
      <c r="F2" s="216"/>
      <c r="G2" s="237"/>
      <c r="H2" s="238"/>
      <c r="I2" s="196">
        <f>IF(ISERROR(MATCH(Frachtsatz1,waybilldata!$A:$A,0)),"",VLOOKUP(Frachtsatz1,waybilldata!$A:$P,8))</f>
        <v>0</v>
      </c>
      <c r="J2" s="172"/>
      <c r="K2" s="169">
        <f>IF(ISERROR(MATCH(Frachtsatz1,waybilldata!$A:$A,0)),"",VLOOKUP(Frachtsatz1,waybilldata!$A:$P,6))</f>
        <v>0</v>
      </c>
      <c r="L2" s="190" t="str">
        <f>IF(ISERROR(MATCH(Frachtsatz1,waybilldata!$A:$A,0)),"",VLOOKUP(Frachtsatz1,waybilldata!$A:$P,10))</f>
        <v>BN Yard</v>
      </c>
      <c r="M2" s="225" t="str">
        <f>IF(ISERROR(MATCH(Frachtsatz1,waybilldata!$A:$A,0)),"",VLOOKUP(Frachtsatz1,waybilldata!$A:$P,9))</f>
        <v>x</v>
      </c>
      <c r="N2" s="228"/>
      <c r="O2" s="154" t="str">
        <f>IF(ISERROR(MATCH(Frachtsatz2,waybilldata!$A:$A,0)),"",VLOOKUP(Frachtsatz2,waybilldata!$A:$P,3))</f>
        <v>ALNX 396282</v>
      </c>
      <c r="P2" s="211"/>
      <c r="Q2" s="212"/>
      <c r="R2" s="230"/>
      <c r="S2" s="232"/>
      <c r="T2" s="216"/>
      <c r="U2" s="237"/>
      <c r="V2" s="238"/>
      <c r="W2" s="196">
        <f>IF(ISERROR(MATCH(Frachtsatz2,waybilldata!$A:$A,0)),"",VLOOKUP(Frachtsatz2,waybilldata!$A:$P,8))</f>
        <v>0</v>
      </c>
      <c r="X2" s="172"/>
      <c r="Y2" s="169">
        <f>IF(ISERROR(MATCH(Frachtsatz2,waybilldata!$A:$A,0)),"",VLOOKUP(Frachtsatz2,waybilldata!$A:$P,6))</f>
        <v>0</v>
      </c>
      <c r="Z2" s="190">
        <f>IF(ISERROR(MATCH(Frachtsatz2,waybilldata!$A:$A,0)),"",VLOOKUP(Frachtsatz2,waybilldata!$A:$P,10))</f>
        <v>0</v>
      </c>
      <c r="AA2" s="193">
        <f>IF(ISERROR(MATCH(Frachtsatz2,waybilldata!$A:$A,0)),"",VLOOKUP(Frachtsatz2,waybilldata!$A:$P,9))</f>
        <v>0</v>
      </c>
      <c r="AB2" s="218"/>
      <c r="AC2" s="154" t="str">
        <f>IF(ISERROR(MATCH(Frachtsatz3,waybilldata!$A:$A,0)),"",VLOOKUP(Frachtsatz3,waybilldata!$A:$P,3))</f>
        <v>AMC 1031</v>
      </c>
      <c r="AD2" s="211"/>
      <c r="AE2" s="212"/>
      <c r="AF2" s="230"/>
      <c r="AG2" s="232"/>
      <c r="AH2" s="216"/>
      <c r="AI2" s="235"/>
      <c r="AJ2" s="237"/>
      <c r="AK2" s="196" t="str">
        <f>IF(ISERROR(MATCH(Frachtsatz3,waybilldata!$A:$A,0)),"",VLOOKUP(Frachtsatz3,waybilldata!$A:$P,8))</f>
        <v>mty</v>
      </c>
      <c r="AL2" s="172"/>
      <c r="AM2" s="169" t="str">
        <f>IF(ISERROR(MATCH(Frachtsatz3,waybilldata!$A:$A,0)),"",VLOOKUP(Frachtsatz3,waybilldata!$A:$P,6))</f>
        <v>Westport</v>
      </c>
      <c r="AN2" s="190" t="str">
        <f>IF(ISERROR(MATCH(Frachtsatz3,waybilldata!$A:$A,0)),"",VLOOKUP(Frachtsatz3,waybilldata!$A:$P,10))</f>
        <v>BN Yard</v>
      </c>
      <c r="AO2" s="193" t="str">
        <f>IF(ISERROR(MATCH(Frachtsatz3,waybilldata!$A:$A,0)),"",VLOOKUP(Frachtsatz3,waybilldata!$A:$P,9))</f>
        <v>Int. Falls</v>
      </c>
      <c r="AP2" s="218"/>
      <c r="AR2" s="193" t="s">
        <v>115</v>
      </c>
      <c r="AT2" s="93"/>
    </row>
    <row r="3" spans="1:44" ht="42.75" customHeight="1">
      <c r="A3" s="223" t="str">
        <f>IF(ISERROR(MATCH(Frachtsatz1,waybilldata!$A:$A,0)),"",VLOOKUP(Frachtsatz1,waybilldata!$A:$P,2))</f>
        <v>RP</v>
      </c>
      <c r="B3" s="211"/>
      <c r="C3" s="212"/>
      <c r="D3" s="234"/>
      <c r="E3" s="232"/>
      <c r="F3" s="216"/>
      <c r="G3" s="237"/>
      <c r="H3" s="238"/>
      <c r="I3" s="196"/>
      <c r="J3" s="172"/>
      <c r="K3" s="169"/>
      <c r="L3" s="190"/>
      <c r="M3" s="225"/>
      <c r="N3" s="51"/>
      <c r="O3" s="223" t="str">
        <f>IF(ISERROR(MATCH(Frachtsatz2,waybilldata!$A:$A,0)),"",VLOOKUP(Frachtsatz2,waybilldata!$A:$P,2))</f>
        <v>LOG</v>
      </c>
      <c r="P3" s="211"/>
      <c r="Q3" s="212"/>
      <c r="R3" s="230"/>
      <c r="S3" s="232"/>
      <c r="T3" s="216"/>
      <c r="U3" s="237"/>
      <c r="V3" s="238"/>
      <c r="W3" s="196"/>
      <c r="X3" s="172"/>
      <c r="Y3" s="169"/>
      <c r="Z3" s="190"/>
      <c r="AA3" s="193"/>
      <c r="AB3" s="16"/>
      <c r="AC3" s="213" t="str">
        <f>IF(ISERROR(MATCH(Frachtsatz3,waybilldata!$A:$A,0)),"",VLOOKUP(Frachtsatz3,waybilldata!$A:$P,2))</f>
        <v>XM</v>
      </c>
      <c r="AD3" s="211"/>
      <c r="AE3" s="212"/>
      <c r="AF3" s="230"/>
      <c r="AG3" s="232"/>
      <c r="AH3" s="216"/>
      <c r="AI3" s="235"/>
      <c r="AJ3" s="237"/>
      <c r="AK3" s="196"/>
      <c r="AL3" s="172"/>
      <c r="AM3" s="169"/>
      <c r="AN3" s="190"/>
      <c r="AO3" s="193"/>
      <c r="AP3" s="16"/>
      <c r="AR3" s="193"/>
    </row>
    <row r="4" spans="1:46" ht="24.75" customHeight="1">
      <c r="A4" s="224"/>
      <c r="B4" s="17" t="s">
        <v>0</v>
      </c>
      <c r="C4" s="4"/>
      <c r="D4" s="18" t="s">
        <v>2</v>
      </c>
      <c r="E4" s="19"/>
      <c r="F4" s="20" t="s">
        <v>1</v>
      </c>
      <c r="G4" s="4"/>
      <c r="H4" s="56"/>
      <c r="I4" s="219"/>
      <c r="J4" s="220"/>
      <c r="K4" s="170"/>
      <c r="L4" s="221"/>
      <c r="M4" s="226"/>
      <c r="N4" s="52">
        <v>2</v>
      </c>
      <c r="O4" s="224"/>
      <c r="P4" s="17" t="s">
        <v>0</v>
      </c>
      <c r="Q4" s="4"/>
      <c r="R4" s="18" t="s">
        <v>2</v>
      </c>
      <c r="S4" s="37"/>
      <c r="T4" s="20" t="s">
        <v>1</v>
      </c>
      <c r="U4" s="4"/>
      <c r="V4" s="56"/>
      <c r="W4" s="219"/>
      <c r="X4" s="220"/>
      <c r="Y4" s="170"/>
      <c r="Z4" s="221"/>
      <c r="AA4" s="222"/>
      <c r="AB4" s="40">
        <v>2</v>
      </c>
      <c r="AC4" s="214"/>
      <c r="AD4" s="17" t="s">
        <v>0</v>
      </c>
      <c r="AE4" s="4"/>
      <c r="AF4" s="18" t="s">
        <v>2</v>
      </c>
      <c r="AG4" s="37"/>
      <c r="AH4" s="20" t="s">
        <v>1</v>
      </c>
      <c r="AI4" s="56"/>
      <c r="AJ4" s="4"/>
      <c r="AK4" s="219"/>
      <c r="AL4" s="220"/>
      <c r="AM4" s="170"/>
      <c r="AN4" s="221"/>
      <c r="AO4" s="222"/>
      <c r="AP4" s="40">
        <v>2</v>
      </c>
      <c r="AR4" s="222"/>
      <c r="AT4" t="s">
        <v>21</v>
      </c>
    </row>
    <row r="5" spans="1:44" ht="24.75" customHeight="1">
      <c r="A5" s="34">
        <v>1</v>
      </c>
      <c r="B5" s="210">
        <f>IF(ISERROR(MATCH(Frachtsatz4,waybilldata!$A:$A,0)),"",VLOOKUP(Frachtsatz4,waybilldata!$A:$P,6))</f>
        <v>0</v>
      </c>
      <c r="C5" s="198">
        <f>IF(ISERROR(MATCH(Frachtsatz4,waybilldata!$A:$A,0)),"",VLOOKUP(Frachtsatz4,waybilldata!$A:$P,7))</f>
        <v>0</v>
      </c>
      <c r="D5" s="233">
        <f>IF(ISERROR(MATCH(Frachtsatz4,waybilldata!$A:$A,0)),"",VLOOKUP(Frachtsatz4,waybilldata!$A:$P,9))</f>
        <v>0</v>
      </c>
      <c r="E5" s="231"/>
      <c r="F5" s="215">
        <f>IF(ISERROR(MATCH(Frachtsatz4,waybilldata!$A:$A,0)),"",VLOOKUP(Frachtsatz4,waybilldata!$A:$P,5))</f>
        <v>0</v>
      </c>
      <c r="G5" s="7"/>
      <c r="H5" s="54"/>
      <c r="I5" s="11" t="s">
        <v>1</v>
      </c>
      <c r="J5" s="12"/>
      <c r="K5" s="13" t="s">
        <v>2</v>
      </c>
      <c r="L5" s="14"/>
      <c r="M5" s="15" t="s">
        <v>0</v>
      </c>
      <c r="N5" s="227">
        <f>IF(ISERROR(MATCH(Frachtsatz4,waybilldata!$A:$A,0)),"",VLOOKUP(Frachtsatz4,waybilldata!$A:$P,2))</f>
        <v>0</v>
      </c>
      <c r="O5" s="34">
        <v>1</v>
      </c>
      <c r="P5" s="210">
        <f>IF(ISERROR(MATCH(Frachtsatz5,waybilldata!$A:$A,0)),"",VLOOKUP(Frachtsatz5,waybilldata!$A:$P,6))</f>
        <v>0</v>
      </c>
      <c r="Q5" s="198">
        <f>IF(ISERROR(MATCH(Frachtsatz5,waybilldata!$A:$A,0)),"",VLOOKUP(Frachtsatz5,waybilldata!$A:$P,7))</f>
        <v>0</v>
      </c>
      <c r="R5" s="233">
        <f>IF(ISERROR(MATCH(Frachtsatz5,waybilldata!$A:$A,0)),"",VLOOKUP(Frachtsatz5,waybilldata!$A:$P,9))</f>
        <v>0</v>
      </c>
      <c r="S5" s="231"/>
      <c r="T5" s="215">
        <f>IF(ISERROR(MATCH(Frachtsatz5,waybilldata!$A:$A,0)),"",VLOOKUP(Frachtsatz5,waybilldata!$A:$P,5))</f>
        <v>0</v>
      </c>
      <c r="U5" s="7"/>
      <c r="V5" s="54"/>
      <c r="W5" s="11" t="s">
        <v>1</v>
      </c>
      <c r="X5" s="12"/>
      <c r="Y5" s="13" t="s">
        <v>2</v>
      </c>
      <c r="Z5" s="14"/>
      <c r="AA5" s="15" t="s">
        <v>0</v>
      </c>
      <c r="AB5" s="227">
        <f>IF(ISERROR(MATCH(Frachtsatz5,waybilldata!$A:$A,0)),"",VLOOKUP(Frachtsatz5,waybilldata!$A:$P,2))</f>
        <v>0</v>
      </c>
      <c r="AC5" s="34">
        <v>1</v>
      </c>
      <c r="AD5" s="210">
        <f>IF(ISERROR(MATCH(Frachtsatz6,waybilldata!$A:$A,0)),"",VLOOKUP(Frachtsatz6,waybilldata!$A:$P,6))</f>
      </c>
      <c r="AE5" s="198">
        <f>IF(ISERROR(MATCH(Frachtsatz6,waybilldata!$A:$A,0)),"",VLOOKUP(Frachtsatz6,waybilldata!$A:$P,7))</f>
      </c>
      <c r="AF5" s="233">
        <f>IF(ISERROR(MATCH(Frachtsatz6,waybilldata!$A:$A,0)),"",VLOOKUP(Frachtsatz6,waybilldata!$A:$P,9))</f>
      </c>
      <c r="AG5" s="231"/>
      <c r="AH5" s="215">
        <f>IF(ISERROR(MATCH(Frachtsatz6,waybilldata!$A:$A,0)),"",VLOOKUP(Frachtsatz6,waybilldata!$A:$P,5))</f>
      </c>
      <c r="AI5" s="7"/>
      <c r="AJ5" s="54"/>
      <c r="AK5" s="11" t="s">
        <v>1</v>
      </c>
      <c r="AL5" s="12"/>
      <c r="AM5" s="13" t="s">
        <v>2</v>
      </c>
      <c r="AN5" s="14"/>
      <c r="AO5" s="15" t="s">
        <v>0</v>
      </c>
      <c r="AP5" s="217">
        <f>IF(ISERROR(MATCH(Frachtsatz6,waybilldata!$A:$A,0)),"",VLOOKUP(Frachtsatz6,waybilldata!$A:$P,2))</f>
      </c>
      <c r="AR5" s="15"/>
    </row>
    <row r="6" spans="1:44" ht="42.75" customHeight="1">
      <c r="A6" s="154">
        <f>IF(ISERROR(MATCH(Frachtsatz4,waybilldata!$A:$A,0)),"",VLOOKUP(Frachtsatz4,waybilldata!$A:$P,3))</f>
        <v>0</v>
      </c>
      <c r="B6" s="211"/>
      <c r="C6" s="212"/>
      <c r="D6" s="234"/>
      <c r="E6" s="232"/>
      <c r="F6" s="216"/>
      <c r="G6" s="237"/>
      <c r="H6" s="238"/>
      <c r="I6" s="196">
        <f>IF(ISERROR(MATCH(Frachtsatz4,waybilldata!$A:$A,0)),"",VLOOKUP(Frachtsatz4,waybilldata!$A:$P,8))</f>
        <v>0</v>
      </c>
      <c r="J6" s="172">
        <f>IF(ISERROR(MATCH(Frachtsatz4,waybilldata!$A:$A,0)),"",VLOOKUP(Frachtsatz4,waybilldata!$A:$P,7))</f>
        <v>0</v>
      </c>
      <c r="K6" s="169">
        <f>IF(ISERROR(MATCH(Frachtsatz4,waybilldata!$A:$A,0)),"",VLOOKUP(Frachtsatz4,waybilldata!$A:$P,6))</f>
        <v>0</v>
      </c>
      <c r="L6" s="190">
        <f>IF(ISERROR(MATCH(Frachtsatz4,waybilldata!$A:$A,0)),"",VLOOKUP(Frachtsatz4,waybilldata!$A:$P,10))</f>
        <v>0</v>
      </c>
      <c r="M6" s="193">
        <f>IF(ISERROR(MATCH(Frachtsatz4,waybilldata!$A:$A,0)),"",VLOOKUP(Frachtsatz4,waybilldata!$A:$P,9))</f>
        <v>0</v>
      </c>
      <c r="N6" s="228"/>
      <c r="O6" s="154">
        <f>IF(ISERROR(MATCH(Frachtsatz5,waybilldata!$A:$A,0)),"",VLOOKUP(Frachtsatz5,waybilldata!$A:$P,3))</f>
        <v>0</v>
      </c>
      <c r="P6" s="211"/>
      <c r="Q6" s="212"/>
      <c r="R6" s="234"/>
      <c r="S6" s="232"/>
      <c r="T6" s="216"/>
      <c r="U6" s="237"/>
      <c r="V6" s="238"/>
      <c r="W6" s="196">
        <f>IF(ISERROR(MATCH(Frachtsatz5,waybilldata!$A:$A,0)),"",VLOOKUP(Frachtsatz5,waybilldata!$A:$P,8))</f>
        <v>0</v>
      </c>
      <c r="X6" s="172" t="s">
        <v>106</v>
      </c>
      <c r="Y6" s="169">
        <f>IF(ISERROR(MATCH(Frachtsatz5,waybilldata!$A:$A,0)),"",VLOOKUP(Frachtsatz5,waybilldata!$A:$P,6))</f>
        <v>0</v>
      </c>
      <c r="Z6" s="190">
        <f>IF(ISERROR(MATCH(Frachtsatz5,waybilldata!$A:$A,0)),"",VLOOKUP(Frachtsatz5,waybilldata!$A:$P,10))</f>
        <v>0</v>
      </c>
      <c r="AA6" s="193">
        <f>IF(ISERROR(MATCH(Frachtsatz5,waybilldata!$A:$A,0)),"",VLOOKUP(Frachtsatz5,waybilldata!$A:$P,9))</f>
        <v>0</v>
      </c>
      <c r="AB6" s="228"/>
      <c r="AC6" s="154">
        <f>IF(ISERROR(MATCH(Frachtsatz6,waybilldata!$A:$A,0)),"",VLOOKUP(Frachtsatz6,waybilldata!$A:$P,3))</f>
      </c>
      <c r="AD6" s="211"/>
      <c r="AE6" s="212"/>
      <c r="AF6" s="234"/>
      <c r="AG6" s="232"/>
      <c r="AH6" s="216"/>
      <c r="AI6" s="237"/>
      <c r="AJ6" s="238"/>
      <c r="AK6" s="196">
        <f>IF(ISERROR(MATCH(Frachtsatz6,waybilldata!$A:$A,0)),"",VLOOKUP(Frachtsatz6,waybilldata!$A:$P,8))</f>
      </c>
      <c r="AL6" s="172"/>
      <c r="AM6" s="169">
        <f>IF(ISERROR(MATCH(Frachtsatz6,waybilldata!$A:$A,0)),"",VLOOKUP(Frachtsatz6,waybilldata!$A:$P,6))</f>
      </c>
      <c r="AN6" s="190">
        <f>IF(ISERROR(MATCH(Frachtsatz6,waybilldata!$A:$A,0)),"",VLOOKUP(Frachtsatz6,waybilldata!$A:$P,10))</f>
      </c>
      <c r="AO6" s="193">
        <f>IF(ISERROR(MATCH(Frachtsatz6,waybilldata!$A:$A,0)),"",VLOOKUP(Frachtsatz6,waybilldata!$A:$P,9))</f>
      </c>
      <c r="AP6" s="236"/>
      <c r="AR6" s="193" t="s">
        <v>115</v>
      </c>
    </row>
    <row r="7" spans="1:44" ht="42.75" customHeight="1">
      <c r="A7" s="223">
        <f>IF(ISERROR(MATCH(Frachtsatz4,waybilldata!$A:$A,0)),"",VLOOKUP(Frachtsatz4,waybilldata!$A:$P,2))</f>
        <v>0</v>
      </c>
      <c r="B7" s="211"/>
      <c r="C7" s="212"/>
      <c r="D7" s="234"/>
      <c r="E7" s="232"/>
      <c r="F7" s="216"/>
      <c r="G7" s="237"/>
      <c r="H7" s="238"/>
      <c r="I7" s="196"/>
      <c r="J7" s="172"/>
      <c r="K7" s="169"/>
      <c r="L7" s="190"/>
      <c r="M7" s="193"/>
      <c r="N7" s="51"/>
      <c r="O7" s="223">
        <f>IF(ISERROR(MATCH(Frachtsatz5,waybilldata!$A:$A,0)),"",VLOOKUP(Frachtsatz5,waybilldata!$A:$P,2))</f>
        <v>0</v>
      </c>
      <c r="P7" s="211"/>
      <c r="Q7" s="212"/>
      <c r="R7" s="234"/>
      <c r="S7" s="232"/>
      <c r="T7" s="216"/>
      <c r="U7" s="237"/>
      <c r="V7" s="238"/>
      <c r="W7" s="196"/>
      <c r="X7" s="172"/>
      <c r="Y7" s="169"/>
      <c r="Z7" s="190"/>
      <c r="AA7" s="193"/>
      <c r="AB7" s="51"/>
      <c r="AC7" s="223">
        <f>IF(ISERROR(MATCH(Frachtsatz6,waybilldata!$A:$A,0)),"",VLOOKUP(Frachtsatz6,waybilldata!$A:$P,2))</f>
      </c>
      <c r="AD7" s="211"/>
      <c r="AE7" s="212"/>
      <c r="AF7" s="234"/>
      <c r="AG7" s="232"/>
      <c r="AH7" s="216"/>
      <c r="AI7" s="237"/>
      <c r="AJ7" s="238"/>
      <c r="AK7" s="196"/>
      <c r="AL7" s="172"/>
      <c r="AM7" s="169"/>
      <c r="AN7" s="190"/>
      <c r="AO7" s="193"/>
      <c r="AP7" s="16"/>
      <c r="AR7" s="193"/>
    </row>
    <row r="8" spans="1:44" ht="24.75" customHeight="1">
      <c r="A8" s="224"/>
      <c r="B8" s="17" t="s">
        <v>0</v>
      </c>
      <c r="C8" s="4"/>
      <c r="D8" s="18" t="s">
        <v>2</v>
      </c>
      <c r="E8" s="19"/>
      <c r="F8" s="20" t="s">
        <v>1</v>
      </c>
      <c r="G8" s="4"/>
      <c r="H8" s="56"/>
      <c r="I8" s="219"/>
      <c r="J8" s="220"/>
      <c r="K8" s="170"/>
      <c r="L8" s="221"/>
      <c r="M8" s="222"/>
      <c r="N8" s="52">
        <v>2</v>
      </c>
      <c r="O8" s="224"/>
      <c r="P8" s="17" t="s">
        <v>0</v>
      </c>
      <c r="Q8" s="4"/>
      <c r="R8" s="18" t="s">
        <v>2</v>
      </c>
      <c r="S8" s="19"/>
      <c r="T8" s="20" t="s">
        <v>1</v>
      </c>
      <c r="U8" s="4"/>
      <c r="V8" s="56"/>
      <c r="W8" s="219"/>
      <c r="X8" s="220"/>
      <c r="Y8" s="170"/>
      <c r="Z8" s="221"/>
      <c r="AA8" s="222"/>
      <c r="AB8" s="52">
        <v>2</v>
      </c>
      <c r="AC8" s="224"/>
      <c r="AD8" s="17" t="s">
        <v>0</v>
      </c>
      <c r="AE8" s="4"/>
      <c r="AF8" s="18" t="s">
        <v>2</v>
      </c>
      <c r="AG8" s="19"/>
      <c r="AH8" s="20" t="s">
        <v>1</v>
      </c>
      <c r="AI8" s="4"/>
      <c r="AJ8" s="56"/>
      <c r="AK8" s="219"/>
      <c r="AL8" s="220"/>
      <c r="AM8" s="170"/>
      <c r="AN8" s="221"/>
      <c r="AO8" s="222"/>
      <c r="AP8" s="40">
        <v>2</v>
      </c>
      <c r="AR8" s="222"/>
    </row>
    <row r="9" spans="1:44" ht="24.75" customHeight="1">
      <c r="A9" s="34">
        <v>1</v>
      </c>
      <c r="B9" s="210">
        <f>IF(ISERROR(MATCH(Frachtsatz7,waybilldata!$A:$A,0)),"",VLOOKUP(Frachtsatz7,waybilldata!$A:$P,6))</f>
      </c>
      <c r="C9" s="198">
        <f>IF(ISERROR(MATCH(Frachtsatz7,waybilldata!$A:$A,0)),"",VLOOKUP(Frachtsatz7,waybilldata!$A:$P,7))</f>
      </c>
      <c r="D9" s="231">
        <f>IF(ISERROR(MATCH(Frachtsatz7,waybilldata!$A:$A,0)),"",VLOOKUP(Frachtsatz7,waybilldata!$A:$P,9))</f>
      </c>
      <c r="F9" s="215">
        <f>IF(ISERROR(MATCH(Frachtsatz7,waybilldata!$A:$A,0)),"",VLOOKUP(Frachtsatz7,waybilldata!$A:$P,5))</f>
      </c>
      <c r="G9" s="7"/>
      <c r="H9" s="54"/>
      <c r="I9" s="11" t="s">
        <v>1</v>
      </c>
      <c r="J9" s="12"/>
      <c r="K9" s="13" t="s">
        <v>2</v>
      </c>
      <c r="L9" s="14"/>
      <c r="M9" s="15" t="s">
        <v>0</v>
      </c>
      <c r="N9" s="227">
        <f>IF(ISERROR(MATCH(Frachtsatz7,waybilldata!$A:$A,0)),"",VLOOKUP(Frachtsatz7,waybilldata!$A:$P,2))</f>
      </c>
      <c r="O9" s="34">
        <v>1</v>
      </c>
      <c r="P9" s="210">
        <f>IF(ISERROR(MATCH(Frachtsatz8,waybilldata!$A:$A,0)),"",VLOOKUP(Frachtsatz8,waybilldata!$A:$P,6))</f>
      </c>
      <c r="Q9" s="198">
        <f>IF(ISERROR(MATCH(Frachtsatz8,waybilldata!$A:$A,0)),"",VLOOKUP(Frachtsatz8,waybilldata!$A:$P,7))</f>
      </c>
      <c r="R9" s="233">
        <f>IF(ISERROR(MATCH(Frachtsatz8,waybilldata!$A:$A,0)),"",VLOOKUP(Frachtsatz8,waybilldata!$A:$P,9))</f>
      </c>
      <c r="S9" s="231"/>
      <c r="T9" s="215">
        <f>IF(ISERROR(MATCH(Frachtsatz8,waybilldata!$A:$A,0)),"",VLOOKUP(Frachtsatz8,waybilldata!$A:$P,5))</f>
      </c>
      <c r="U9" s="7"/>
      <c r="V9" s="54"/>
      <c r="W9" s="11" t="s">
        <v>1</v>
      </c>
      <c r="X9" s="12"/>
      <c r="Y9" s="13" t="s">
        <v>2</v>
      </c>
      <c r="Z9" s="14"/>
      <c r="AA9" s="15" t="s">
        <v>0</v>
      </c>
      <c r="AB9" s="227">
        <f>IF(ISERROR(MATCH(Frachtsatz8,waybilldata!$A:$A,0)),"",VLOOKUP(Frachtsatz8,waybilldata!$A:$P,2))</f>
      </c>
      <c r="AC9" s="34">
        <v>1</v>
      </c>
      <c r="AD9" s="210">
        <f>IF(ISERROR(MATCH(Frachtsatz9,waybilldata!$A:$A,0)),"",VLOOKUP(Frachtsatz9,waybilldata!$A:$P,6))</f>
      </c>
      <c r="AE9" s="198">
        <f>IF(ISERROR(MATCH(Frachtsatz9,waybilldata!$A:$A,0)),"",VLOOKUP(Frachtsatz9,waybilldata!$A:$P,7))</f>
      </c>
      <c r="AF9" s="233">
        <f>IF(ISERROR(MATCH(Frachtsatz9,waybilldata!$A:$A,0)),"",VLOOKUP(Frachtsatz9,waybilldata!$A:$P,9))</f>
      </c>
      <c r="AG9" s="231"/>
      <c r="AH9" s="215">
        <f>IF(ISERROR(MATCH(Frachtsatz9,waybilldata!$A:$A,0)),"",VLOOKUP(Frachtsatz9,waybilldata!$A:$P,5))</f>
      </c>
      <c r="AI9" s="7"/>
      <c r="AJ9" s="54"/>
      <c r="AK9" s="11" t="s">
        <v>1</v>
      </c>
      <c r="AL9" s="12"/>
      <c r="AM9" s="13" t="s">
        <v>2</v>
      </c>
      <c r="AN9" s="14"/>
      <c r="AO9" s="15" t="s">
        <v>0</v>
      </c>
      <c r="AP9" s="217">
        <f>IF(ISERROR(MATCH(Frachtsatz9,waybilldata!$A:$A,0)),"",VLOOKUP(Frachtsatz9,waybilldata!$A:$P,2))</f>
      </c>
      <c r="AR9" s="15"/>
    </row>
    <row r="10" spans="1:44" ht="42.75" customHeight="1">
      <c r="A10" s="154">
        <f>IF(ISERROR(MATCH(Frachtsatz7,waybilldata!$A:$A,0)),"",VLOOKUP(Frachtsatz7,waybilldata!$A:$P,3))</f>
      </c>
      <c r="B10" s="211"/>
      <c r="C10" s="212"/>
      <c r="D10" s="232"/>
      <c r="F10" s="216"/>
      <c r="G10" s="237"/>
      <c r="H10" s="238"/>
      <c r="I10" s="196">
        <f>IF(ISERROR(MATCH(Frachtsatz7,waybilldata!$A:$A,0)),"",VLOOKUP(Frachtsatz7,waybilldata!$A:$P,8))</f>
      </c>
      <c r="J10" s="172">
        <f>IF(ISERROR(MATCH(Frachtsatz7,waybilldata!$A:$A,0)),"",VLOOKUP(Frachtsatz7,waybilldata!$A:$P,7))</f>
      </c>
      <c r="K10" s="169">
        <f>IF(ISERROR(MATCH(Frachtsatz7,waybilldata!$A:$A,0)),"",VLOOKUP(Frachtsatz7,waybilldata!$A:$P,6))</f>
      </c>
      <c r="L10" s="190">
        <f>IF(ISERROR(MATCH(Frachtsatz7,waybilldata!$A:$A,0)),"",VLOOKUP(Frachtsatz7,waybilldata!$A:$P,10))</f>
      </c>
      <c r="M10" s="193">
        <f>IF(ISERROR(MATCH(Frachtsatz7,waybilldata!$A:$A,0)),"",VLOOKUP(Frachtsatz7,waybilldata!$A:$P,9))</f>
      </c>
      <c r="N10" s="228"/>
      <c r="O10" s="154">
        <f>IF(ISERROR(MATCH(Frachtsatz8,waybilldata!$A:$A,0)),"",VLOOKUP(Frachtsatz8,waybilldata!$A:$P,3))</f>
      </c>
      <c r="P10" s="211"/>
      <c r="Q10" s="212"/>
      <c r="R10" s="234"/>
      <c r="S10" s="232"/>
      <c r="T10" s="216"/>
      <c r="U10" s="237"/>
      <c r="V10" s="238"/>
      <c r="W10" s="196">
        <f>IF(ISERROR(MATCH(Frachtsatz8,waybilldata!$A:$A,0)),"",VLOOKUP(Frachtsatz8,waybilldata!$A:$P,8))</f>
      </c>
      <c r="X10" s="172">
        <f>IF(ISERROR(MATCH(Frachtsatz8,waybilldata!$A:$A,0)),"",VLOOKUP(Frachtsatz8,waybilldata!$A:$P,7))</f>
      </c>
      <c r="Y10" s="169">
        <f>IF(ISERROR(MATCH(Frachtsatz8,waybilldata!$A:$A,0)),"",VLOOKUP(Frachtsatz8,waybilldata!$A:$P,6))</f>
      </c>
      <c r="Z10" s="190">
        <f>IF(ISERROR(MATCH(Frachtsatz8,waybilldata!$A:$A,0)),"",VLOOKUP(Frachtsatz8,waybilldata!$A:$P,10))</f>
      </c>
      <c r="AA10" s="193">
        <f>IF(ISERROR(MATCH(Frachtsatz8,waybilldata!$A:$A,0)),"",VLOOKUP(Frachtsatz8,waybilldata!$A:$P,9))</f>
      </c>
      <c r="AB10" s="228"/>
      <c r="AC10" s="154">
        <f>IF(ISERROR(MATCH(Frachtsatz9,waybilldata!$A:$A,0)),"",VLOOKUP(Frachtsatz9,waybilldata!$A:$P,3))</f>
      </c>
      <c r="AD10" s="211"/>
      <c r="AE10" s="212"/>
      <c r="AF10" s="234"/>
      <c r="AG10" s="232"/>
      <c r="AH10" s="216"/>
      <c r="AI10" s="237"/>
      <c r="AJ10" s="238"/>
      <c r="AK10" s="196">
        <f>IF(ISERROR(MATCH(Frachtsatz9,waybilldata!$A:$A,0)),"",VLOOKUP(Frachtsatz9,waybilldata!$A:$P,8))</f>
      </c>
      <c r="AL10" s="172">
        <f>IF(ISERROR(MATCH(Frachtsatz9,waybilldata!$A:$A,0)),"",VLOOKUP(Frachtsatz9,waybilldata!$A:$P,7))</f>
      </c>
      <c r="AM10" s="169">
        <f>IF(ISERROR(MATCH(Frachtsatz9,waybilldata!$A:$A,0)),"",VLOOKUP(Frachtsatz9,waybilldata!$A:$P,6))</f>
      </c>
      <c r="AN10" s="190">
        <f>IF(ISERROR(MATCH(Frachtsatz9,waybilldata!$A:$A,0)),"",VLOOKUP(Frachtsatz9,waybilldata!$A:$P,10))</f>
      </c>
      <c r="AO10" s="193">
        <f>IF(ISERROR(MATCH(Frachtsatz9,waybilldata!$A:$A,0)),"",VLOOKUP(Frachtsatz9,waybilldata!$A:$P,9))</f>
      </c>
      <c r="AP10" s="236"/>
      <c r="AR10" s="193" t="s">
        <v>115</v>
      </c>
    </row>
    <row r="11" spans="1:44" ht="42.75" customHeight="1">
      <c r="A11" s="223">
        <f>IF(ISERROR(MATCH(Frachtsatz7,waybilldata!$A:$A,0)),"",VLOOKUP(Frachtsatz7,waybilldata!$A:$P,2))</f>
      </c>
      <c r="B11" s="211"/>
      <c r="C11" s="212"/>
      <c r="D11" s="232"/>
      <c r="F11" s="216"/>
      <c r="G11" s="237"/>
      <c r="H11" s="238"/>
      <c r="I11" s="196"/>
      <c r="J11" s="172"/>
      <c r="K11" s="169"/>
      <c r="L11" s="190"/>
      <c r="M11" s="193"/>
      <c r="N11" s="51"/>
      <c r="O11" s="223">
        <f>IF(ISERROR(MATCH(Frachtsatz8,waybilldata!$A:$A,0)),"",VLOOKUP(Frachtsatz8,waybilldata!$A:$P,2))</f>
      </c>
      <c r="P11" s="211"/>
      <c r="Q11" s="212"/>
      <c r="R11" s="234"/>
      <c r="S11" s="232"/>
      <c r="T11" s="216"/>
      <c r="U11" s="237"/>
      <c r="V11" s="238"/>
      <c r="W11" s="196"/>
      <c r="X11" s="172"/>
      <c r="Y11" s="169"/>
      <c r="Z11" s="190"/>
      <c r="AA11" s="193"/>
      <c r="AB11" s="51"/>
      <c r="AC11" s="223">
        <f>IF(ISERROR(MATCH(Frachtsatz9,waybilldata!$A:$A,0)),"",VLOOKUP(Frachtsatz9,waybilldata!$A:$P,2))</f>
      </c>
      <c r="AD11" s="211"/>
      <c r="AE11" s="212"/>
      <c r="AF11" s="234"/>
      <c r="AG11" s="232"/>
      <c r="AH11" s="216"/>
      <c r="AI11" s="237"/>
      <c r="AJ11" s="238"/>
      <c r="AK11" s="196"/>
      <c r="AL11" s="172"/>
      <c r="AM11" s="169"/>
      <c r="AN11" s="190"/>
      <c r="AO11" s="193"/>
      <c r="AP11" s="16"/>
      <c r="AR11" s="193"/>
    </row>
    <row r="12" spans="1:44" ht="24.75" customHeight="1">
      <c r="A12" s="224"/>
      <c r="B12" s="17" t="s">
        <v>0</v>
      </c>
      <c r="C12" s="4"/>
      <c r="D12" s="18" t="s">
        <v>2</v>
      </c>
      <c r="E12" s="19"/>
      <c r="F12" s="20" t="s">
        <v>1</v>
      </c>
      <c r="G12" s="4"/>
      <c r="H12" s="56"/>
      <c r="I12" s="219"/>
      <c r="J12" s="220"/>
      <c r="K12" s="170"/>
      <c r="L12" s="221"/>
      <c r="M12" s="222"/>
      <c r="N12" s="52">
        <v>2</v>
      </c>
      <c r="O12" s="224"/>
      <c r="P12" s="17" t="s">
        <v>0</v>
      </c>
      <c r="Q12" s="4"/>
      <c r="R12" s="18" t="s">
        <v>2</v>
      </c>
      <c r="S12" s="19"/>
      <c r="T12" s="20" t="s">
        <v>1</v>
      </c>
      <c r="U12" s="4"/>
      <c r="V12" s="56"/>
      <c r="W12" s="219"/>
      <c r="X12" s="220"/>
      <c r="Y12" s="170"/>
      <c r="Z12" s="221"/>
      <c r="AA12" s="222"/>
      <c r="AB12" s="52">
        <v>2</v>
      </c>
      <c r="AC12" s="224"/>
      <c r="AD12" s="17" t="s">
        <v>0</v>
      </c>
      <c r="AE12" s="4"/>
      <c r="AF12" s="18" t="s">
        <v>2</v>
      </c>
      <c r="AG12" s="19"/>
      <c r="AH12" s="20" t="s">
        <v>1</v>
      </c>
      <c r="AI12" s="4"/>
      <c r="AJ12" s="56"/>
      <c r="AK12" s="219"/>
      <c r="AL12" s="220"/>
      <c r="AM12" s="170"/>
      <c r="AN12" s="221"/>
      <c r="AO12" s="222"/>
      <c r="AP12" s="40">
        <v>2</v>
      </c>
      <c r="AR12" s="222"/>
    </row>
    <row r="13" spans="1:44" ht="24.75" customHeight="1">
      <c r="A13" s="34">
        <v>1</v>
      </c>
      <c r="B13" s="210">
        <f>IF(ISERROR(MATCH(Frachtsatz10,waybilldata!$A:$A,0)),"",VLOOKUP(Frachtsatz10,waybilldata!$A:$P,6))</f>
      </c>
      <c r="C13" s="198">
        <f>IF(ISERROR(MATCH(Frachtsatz10,waybilldata!$A:$A,0)),"",VLOOKUP(Frachtsatz10,waybilldata!$A:$P,7))</f>
      </c>
      <c r="D13" s="231">
        <f>IF(ISERROR(MATCH(Frachtsatz10,waybilldata!$A:$A,0)),"",VLOOKUP(Frachtsatz10,waybilldata!$A:$P,9))</f>
      </c>
      <c r="F13" s="215">
        <f>IF(ISERROR(MATCH(Frachtsatz10,waybilldata!$A:$A,0)),"",VLOOKUP(Frachtsatz10,waybilldata!$A:$P,5))</f>
      </c>
      <c r="G13" s="7"/>
      <c r="H13" s="54"/>
      <c r="I13" s="11" t="s">
        <v>1</v>
      </c>
      <c r="J13" s="12"/>
      <c r="K13" s="13" t="s">
        <v>2</v>
      </c>
      <c r="L13" s="14"/>
      <c r="M13" s="15" t="s">
        <v>0</v>
      </c>
      <c r="N13" s="227">
        <f>IF(ISERROR(MATCH(Frachtsatz10,waybilldata!$A:$A,0)),"",VLOOKUP(Frachtsatz10,waybilldata!$A:$P,2))</f>
      </c>
      <c r="O13" s="34">
        <v>1</v>
      </c>
      <c r="P13" s="210">
        <f>IF(ISERROR(MATCH(Frachtsatz11,waybilldata!$A:$A,0)),"",VLOOKUP(Frachtsatz11,waybilldata!$A:$P,6))</f>
      </c>
      <c r="Q13" s="198">
        <f>IF(ISERROR(MATCH(Frachtsatz11,waybilldata!$A:$A,0)),"",VLOOKUP(Frachtsatz11,waybilldata!$A:$P,7))</f>
      </c>
      <c r="R13" s="233">
        <f>IF(ISERROR(MATCH(Frachtsatz11,waybilldata!$A:$A,0)),"",VLOOKUP(Frachtsatz11,waybilldata!$A:$P,9))</f>
      </c>
      <c r="S13" s="231"/>
      <c r="T13" s="215">
        <f>IF(ISERROR(MATCH(Frachtsatz11,waybilldata!$A:$A,0)),"",VLOOKUP(Frachtsatz11,waybilldata!$A:$P,5))</f>
      </c>
      <c r="U13" s="7"/>
      <c r="V13" s="54"/>
      <c r="W13" s="11" t="s">
        <v>1</v>
      </c>
      <c r="X13" s="12"/>
      <c r="Y13" s="13" t="s">
        <v>2</v>
      </c>
      <c r="Z13" s="14"/>
      <c r="AA13" s="15" t="s">
        <v>0</v>
      </c>
      <c r="AB13" s="227">
        <f>IF(ISERROR(MATCH(Frachtsatz11,waybilldata!$A:$A,0)),"",VLOOKUP(Frachtsatz11,waybilldata!$A:$P,2))</f>
      </c>
      <c r="AC13" s="34">
        <v>1</v>
      </c>
      <c r="AD13" s="210">
        <f>IF(ISERROR(MATCH(Frachtsatz12,waybilldata!$A:$A,0)),"",VLOOKUP(Frachtsatz12,waybilldata!$A:$P,6))</f>
      </c>
      <c r="AE13" s="198">
        <f>IF(ISERROR(MATCH(Frachtsatz12,waybilldata!$A:$A,0)),"",VLOOKUP(Frachtsatz12,waybilldata!$A:$P,7))</f>
      </c>
      <c r="AF13" s="233">
        <f>IF(ISERROR(MATCH(Frachtsatz12,waybilldata!$A:$A,0)),"",VLOOKUP(Frachtsatz12,waybilldata!$A:$P,9))</f>
      </c>
      <c r="AG13" s="231"/>
      <c r="AH13" s="215">
        <f>IF(ISERROR(MATCH(Frachtsatz12,waybilldata!$A:$A,0)),"",VLOOKUP(Frachtsatz12,waybilldata!$A:$P,5))</f>
      </c>
      <c r="AI13" s="7"/>
      <c r="AJ13" s="54"/>
      <c r="AK13" s="11" t="s">
        <v>1</v>
      </c>
      <c r="AL13" s="12"/>
      <c r="AM13" s="13" t="s">
        <v>2</v>
      </c>
      <c r="AN13" s="14"/>
      <c r="AO13" s="15" t="s">
        <v>0</v>
      </c>
      <c r="AP13" s="217">
        <f>IF(ISERROR(MATCH(Frachtsatz12,waybilldata!$A:$A,0)),"",VLOOKUP(Frachtsatz12,waybilldata!$A:$P,2))</f>
      </c>
      <c r="AR13" s="15"/>
    </row>
    <row r="14" spans="1:44" ht="42.75" customHeight="1">
      <c r="A14" s="154">
        <f>IF(ISERROR(MATCH(Frachtsatz10,waybilldata!$A:$A,0)),"",VLOOKUP(Frachtsatz10,waybilldata!$A:$P,3))</f>
      </c>
      <c r="B14" s="211"/>
      <c r="C14" s="212"/>
      <c r="D14" s="232"/>
      <c r="F14" s="216"/>
      <c r="G14" s="237"/>
      <c r="H14" s="238"/>
      <c r="I14" s="196">
        <f>IF(ISERROR(MATCH(Frachtsatz10,waybilldata!$A:$A,0)),"",VLOOKUP(Frachtsatz10,waybilldata!$A:$P,8))</f>
      </c>
      <c r="J14" s="172">
        <f>IF(ISERROR(MATCH(Frachtsatz10,waybilldata!$A:$A,0)),"",VLOOKUP(Frachtsatz10,waybilldata!$A:$P,7))</f>
      </c>
      <c r="K14" s="169">
        <f>IF(ISERROR(MATCH(Frachtsatz10,waybilldata!$A:$A,0)),"",VLOOKUP(Frachtsatz10,waybilldata!$A:$P,6))</f>
      </c>
      <c r="L14" s="190">
        <f>IF(ISERROR(MATCH(Frachtsatz10,waybilldata!$A:$A,0)),"",VLOOKUP(Frachtsatz10,waybilldata!$A:$P,10))</f>
      </c>
      <c r="M14" s="193">
        <f>IF(ISERROR(MATCH(Frachtsatz10,waybilldata!$A:$A,0)),"",VLOOKUP(Frachtsatz10,waybilldata!$A:$P,9))</f>
      </c>
      <c r="N14" s="228"/>
      <c r="O14" s="154">
        <f>IF(ISERROR(MATCH(Frachtsatz11,waybilldata!$A:$A,0)),"",VLOOKUP(Frachtsatz11,waybilldata!$A:$P,3))</f>
      </c>
      <c r="P14" s="211"/>
      <c r="Q14" s="212"/>
      <c r="R14" s="234"/>
      <c r="S14" s="232"/>
      <c r="T14" s="216"/>
      <c r="U14" s="237"/>
      <c r="V14" s="238"/>
      <c r="W14" s="196">
        <f>IF(ISERROR(MATCH(Frachtsatz11,waybilldata!$A:$A,0)),"",VLOOKUP(Frachtsatz11,waybilldata!$A:$P,8))</f>
      </c>
      <c r="X14" s="172">
        <f>IF(ISERROR(MATCH(Frachtsatz11,waybilldata!$A:$A,0)),"",VLOOKUP(Frachtsatz11,waybilldata!$A:$P,7))</f>
      </c>
      <c r="Y14" s="169">
        <f>IF(ISERROR(MATCH(Frachtsatz11,waybilldata!$A:$A,0)),"",VLOOKUP(Frachtsatz11,waybilldata!$A:$P,6))</f>
      </c>
      <c r="Z14" s="190">
        <f>IF(ISERROR(MATCH(Frachtsatz11,waybilldata!$A:$A,0)),"",VLOOKUP(Frachtsatz11,waybilldata!$A:$P,10))</f>
      </c>
      <c r="AA14" s="193">
        <f>IF(ISERROR(MATCH(Frachtsatz11,waybilldata!$A:$A,0)),"",VLOOKUP(Frachtsatz11,waybilldata!$A:$P,9))</f>
      </c>
      <c r="AB14" s="228"/>
      <c r="AC14" s="154">
        <f>IF(ISERROR(MATCH(Frachtsatz12,waybilldata!$A:$A,0)),"",VLOOKUP(Frachtsatz12,waybilldata!$A:$P,3))</f>
      </c>
      <c r="AD14" s="211"/>
      <c r="AE14" s="212"/>
      <c r="AF14" s="234"/>
      <c r="AG14" s="232"/>
      <c r="AH14" s="216"/>
      <c r="AI14" s="237"/>
      <c r="AJ14" s="238"/>
      <c r="AK14" s="196">
        <f>IF(ISERROR(MATCH(Frachtsatz12,waybilldata!$A:$A,0)),"",VLOOKUP(Frachtsatz12,waybilldata!$A:$P,8))</f>
      </c>
      <c r="AL14" s="172"/>
      <c r="AM14" s="169">
        <f>IF(ISERROR(MATCH(Frachtsatz12,waybilldata!$A:$A,0)),"",VLOOKUP(Frachtsatz12,waybilldata!$A:$P,6))</f>
      </c>
      <c r="AN14" s="190">
        <f>IF(ISERROR(MATCH(Frachtsatz12,waybilldata!$A:$A,0)),"",VLOOKUP(Frachtsatz12,waybilldata!$A:$P,10))</f>
      </c>
      <c r="AO14" s="193">
        <f>IF(ISERROR(MATCH(Frachtsatz12,waybilldata!$A:$A,0)),"",VLOOKUP(Frachtsatz12,waybilldata!$A:$P,9))</f>
      </c>
      <c r="AP14" s="236"/>
      <c r="AR14" s="193" t="s">
        <v>115</v>
      </c>
    </row>
    <row r="15" spans="1:45" ht="42.75" customHeight="1">
      <c r="A15" s="223">
        <f>IF(ISERROR(MATCH(Frachtsatz10,waybilldata!$A:$A,0)),"",VLOOKUP(Frachtsatz10,waybilldata!$A:$P,2))</f>
      </c>
      <c r="B15" s="211"/>
      <c r="C15" s="212"/>
      <c r="D15" s="232"/>
      <c r="F15" s="216"/>
      <c r="G15" s="237"/>
      <c r="H15" s="238"/>
      <c r="I15" s="196"/>
      <c r="J15" s="172"/>
      <c r="K15" s="169"/>
      <c r="L15" s="190"/>
      <c r="M15" s="193"/>
      <c r="N15" s="51"/>
      <c r="O15" s="223">
        <f>IF(ISERROR(MATCH(Frachtsatz11,waybilldata!$A:$A,0)),"",VLOOKUP(Frachtsatz11,waybilldata!$A:$P,2))</f>
      </c>
      <c r="P15" s="211"/>
      <c r="Q15" s="212"/>
      <c r="R15" s="234"/>
      <c r="S15" s="232"/>
      <c r="T15" s="216"/>
      <c r="U15" s="237"/>
      <c r="V15" s="238"/>
      <c r="W15" s="196"/>
      <c r="X15" s="172"/>
      <c r="Y15" s="169"/>
      <c r="Z15" s="190"/>
      <c r="AA15" s="193"/>
      <c r="AB15" s="51"/>
      <c r="AC15" s="223">
        <f>IF(ISERROR(MATCH(Frachtsatz12,waybilldata!$A:$A,0)),"",VLOOKUP(Frachtsatz12,waybilldata!$A:$P,2))</f>
      </c>
      <c r="AD15" s="211"/>
      <c r="AE15" s="212"/>
      <c r="AF15" s="234"/>
      <c r="AG15" s="232"/>
      <c r="AH15" s="216"/>
      <c r="AI15" s="237"/>
      <c r="AJ15" s="238"/>
      <c r="AK15" s="196"/>
      <c r="AL15" s="172"/>
      <c r="AM15" s="169"/>
      <c r="AN15" s="190"/>
      <c r="AO15" s="193"/>
      <c r="AP15" s="16"/>
      <c r="AR15" s="193"/>
      <c r="AS15" s="62" t="s">
        <v>19</v>
      </c>
    </row>
    <row r="16" spans="1:44" ht="24.75" customHeight="1">
      <c r="A16" s="224"/>
      <c r="B16" s="17" t="s">
        <v>0</v>
      </c>
      <c r="C16" s="4"/>
      <c r="D16" s="18" t="s">
        <v>2</v>
      </c>
      <c r="E16" s="19"/>
      <c r="F16" s="20" t="s">
        <v>1</v>
      </c>
      <c r="G16" s="4"/>
      <c r="H16" s="56"/>
      <c r="I16" s="219"/>
      <c r="J16" s="220"/>
      <c r="K16" s="170"/>
      <c r="L16" s="221"/>
      <c r="M16" s="222"/>
      <c r="N16" s="52">
        <v>2</v>
      </c>
      <c r="O16" s="224"/>
      <c r="P16" s="17" t="s">
        <v>0</v>
      </c>
      <c r="Q16" s="4"/>
      <c r="R16" s="18" t="s">
        <v>2</v>
      </c>
      <c r="S16" s="19"/>
      <c r="T16" s="20" t="s">
        <v>1</v>
      </c>
      <c r="U16" s="4"/>
      <c r="V16" s="56"/>
      <c r="W16" s="219"/>
      <c r="X16" s="220"/>
      <c r="Y16" s="170"/>
      <c r="Z16" s="221"/>
      <c r="AA16" s="222"/>
      <c r="AB16" s="52">
        <v>2</v>
      </c>
      <c r="AC16" s="224"/>
      <c r="AD16" s="17" t="s">
        <v>0</v>
      </c>
      <c r="AE16" s="4"/>
      <c r="AF16" s="18" t="s">
        <v>2</v>
      </c>
      <c r="AG16" s="19"/>
      <c r="AH16" s="20" t="s">
        <v>1</v>
      </c>
      <c r="AI16" s="4"/>
      <c r="AJ16" s="56"/>
      <c r="AK16" s="219"/>
      <c r="AL16" s="220"/>
      <c r="AM16" s="170"/>
      <c r="AN16" s="221"/>
      <c r="AO16" s="222"/>
      <c r="AP16" s="40">
        <v>2</v>
      </c>
      <c r="AR16" s="222"/>
    </row>
    <row r="18" ht="26.25">
      <c r="N18" s="93" t="s">
        <v>50</v>
      </c>
    </row>
    <row r="20" spans="1:44" ht="24.75" customHeight="1">
      <c r="A20" s="205" t="s">
        <v>31</v>
      </c>
      <c r="B20" s="208"/>
      <c r="C20" s="74"/>
      <c r="D20" s="75"/>
      <c r="E20" s="203"/>
      <c r="F20" s="76"/>
      <c r="G20" s="77"/>
      <c r="H20" s="198" t="s">
        <v>32</v>
      </c>
      <c r="I20" s="11"/>
      <c r="J20" s="12"/>
      <c r="K20" s="13"/>
      <c r="L20" s="14"/>
      <c r="M20" s="15"/>
      <c r="N20" s="201"/>
      <c r="O20" s="205" t="s">
        <v>31</v>
      </c>
      <c r="P20" s="208"/>
      <c r="Q20" s="74"/>
      <c r="R20" s="75"/>
      <c r="S20" s="203"/>
      <c r="T20" s="76"/>
      <c r="U20" s="77"/>
      <c r="V20" s="198" t="s">
        <v>32</v>
      </c>
      <c r="W20" s="11"/>
      <c r="X20" s="12"/>
      <c r="Y20" s="13"/>
      <c r="Z20" s="14"/>
      <c r="AA20" s="15"/>
      <c r="AB20" s="201"/>
      <c r="AC20" s="205" t="s">
        <v>31</v>
      </c>
      <c r="AD20" s="208"/>
      <c r="AE20" s="74"/>
      <c r="AF20" s="75"/>
      <c r="AG20" s="203"/>
      <c r="AH20" s="76"/>
      <c r="AI20" s="77"/>
      <c r="AJ20" s="198" t="s">
        <v>32</v>
      </c>
      <c r="AK20" s="11"/>
      <c r="AL20" s="12"/>
      <c r="AM20" s="13"/>
      <c r="AN20" s="14"/>
      <c r="AO20" s="15"/>
      <c r="AP20" s="201"/>
      <c r="AR20" s="15"/>
    </row>
    <row r="21" spans="1:44" ht="42.75" customHeight="1">
      <c r="A21" s="206"/>
      <c r="B21" s="209"/>
      <c r="C21" s="78"/>
      <c r="D21" s="79"/>
      <c r="E21" s="204"/>
      <c r="F21" s="80"/>
      <c r="G21" s="184"/>
      <c r="H21" s="199"/>
      <c r="I21" s="196"/>
      <c r="J21" s="172"/>
      <c r="K21" s="169"/>
      <c r="L21" s="190"/>
      <c r="M21" s="193"/>
      <c r="N21" s="202"/>
      <c r="O21" s="206"/>
      <c r="P21" s="209"/>
      <c r="Q21" s="78"/>
      <c r="R21" s="79"/>
      <c r="S21" s="204"/>
      <c r="T21" s="80"/>
      <c r="U21" s="184"/>
      <c r="V21" s="199"/>
      <c r="W21" s="196"/>
      <c r="X21" s="172"/>
      <c r="Y21" s="169"/>
      <c r="Z21" s="190"/>
      <c r="AA21" s="193"/>
      <c r="AB21" s="202"/>
      <c r="AC21" s="206"/>
      <c r="AD21" s="209"/>
      <c r="AE21" s="78"/>
      <c r="AF21" s="79"/>
      <c r="AG21" s="204"/>
      <c r="AH21" s="80"/>
      <c r="AI21" s="184"/>
      <c r="AJ21" s="199"/>
      <c r="AK21" s="196"/>
      <c r="AL21" s="172"/>
      <c r="AM21" s="169"/>
      <c r="AN21" s="190"/>
      <c r="AO21" s="193"/>
      <c r="AP21" s="202"/>
      <c r="AR21" s="193"/>
    </row>
    <row r="22" spans="1:45" ht="42.75" customHeight="1">
      <c r="A22" s="206"/>
      <c r="B22" s="209"/>
      <c r="C22" s="182" t="s">
        <v>33</v>
      </c>
      <c r="D22" s="184" t="s">
        <v>34</v>
      </c>
      <c r="E22" s="204"/>
      <c r="F22" s="186" t="s">
        <v>35</v>
      </c>
      <c r="G22" s="184"/>
      <c r="H22" s="199"/>
      <c r="I22" s="197"/>
      <c r="J22" s="173"/>
      <c r="K22" s="169"/>
      <c r="L22" s="191"/>
      <c r="M22" s="194"/>
      <c r="N22" s="188" t="s">
        <v>36</v>
      </c>
      <c r="O22" s="206"/>
      <c r="P22" s="209"/>
      <c r="Q22" s="182" t="s">
        <v>33</v>
      </c>
      <c r="R22" s="184" t="s">
        <v>34</v>
      </c>
      <c r="S22" s="204"/>
      <c r="T22" s="186" t="s">
        <v>35</v>
      </c>
      <c r="U22" s="184"/>
      <c r="V22" s="199"/>
      <c r="W22" s="197"/>
      <c r="X22" s="173"/>
      <c r="Y22" s="169"/>
      <c r="Z22" s="191"/>
      <c r="AA22" s="194"/>
      <c r="AB22" s="188" t="s">
        <v>36</v>
      </c>
      <c r="AC22" s="206"/>
      <c r="AD22" s="209"/>
      <c r="AE22" s="182" t="s">
        <v>33</v>
      </c>
      <c r="AF22" s="184" t="s">
        <v>34</v>
      </c>
      <c r="AG22" s="204"/>
      <c r="AH22" s="186" t="s">
        <v>35</v>
      </c>
      <c r="AI22" s="184"/>
      <c r="AJ22" s="199"/>
      <c r="AK22" s="197"/>
      <c r="AL22" s="173"/>
      <c r="AM22" s="169"/>
      <c r="AN22" s="191"/>
      <c r="AO22" s="194"/>
      <c r="AP22" s="188" t="s">
        <v>36</v>
      </c>
      <c r="AR22" s="194"/>
      <c r="AS22" s="62"/>
    </row>
    <row r="23" spans="1:44" ht="24.75" customHeight="1">
      <c r="A23" s="207"/>
      <c r="B23" s="81"/>
      <c r="C23" s="183"/>
      <c r="D23" s="185"/>
      <c r="E23" s="83"/>
      <c r="F23" s="187"/>
      <c r="G23" s="82"/>
      <c r="H23" s="200"/>
      <c r="I23" s="171"/>
      <c r="J23" s="174"/>
      <c r="K23" s="170"/>
      <c r="L23" s="192"/>
      <c r="M23" s="195"/>
      <c r="N23" s="189"/>
      <c r="O23" s="207"/>
      <c r="P23" s="81"/>
      <c r="Q23" s="183"/>
      <c r="R23" s="185"/>
      <c r="S23" s="83"/>
      <c r="T23" s="187"/>
      <c r="U23" s="82"/>
      <c r="V23" s="200"/>
      <c r="W23" s="171"/>
      <c r="X23" s="174"/>
      <c r="Y23" s="170"/>
      <c r="Z23" s="192"/>
      <c r="AA23" s="195"/>
      <c r="AB23" s="189"/>
      <c r="AC23" s="207"/>
      <c r="AD23" s="81"/>
      <c r="AE23" s="183"/>
      <c r="AF23" s="185"/>
      <c r="AG23" s="83"/>
      <c r="AH23" s="187"/>
      <c r="AI23" s="82"/>
      <c r="AJ23" s="200"/>
      <c r="AK23" s="171"/>
      <c r="AL23" s="174"/>
      <c r="AM23" s="170"/>
      <c r="AN23" s="192"/>
      <c r="AO23" s="195"/>
      <c r="AP23" s="189"/>
      <c r="AR23" s="195"/>
    </row>
  </sheetData>
  <mergeCells count="216">
    <mergeCell ref="AR21:AR23"/>
    <mergeCell ref="AR2:AR4"/>
    <mergeCell ref="AR6:AR8"/>
    <mergeCell ref="AR10:AR12"/>
    <mergeCell ref="AR14:AR16"/>
    <mergeCell ref="AJ2:AJ3"/>
    <mergeCell ref="AJ6:AJ7"/>
    <mergeCell ref="AJ10:AJ11"/>
    <mergeCell ref="AJ14:AJ15"/>
    <mergeCell ref="V2:V3"/>
    <mergeCell ref="V6:V7"/>
    <mergeCell ref="V10:V11"/>
    <mergeCell ref="V14:V15"/>
    <mergeCell ref="U2:U3"/>
    <mergeCell ref="U6:U7"/>
    <mergeCell ref="U10:U11"/>
    <mergeCell ref="U14:U15"/>
    <mergeCell ref="H2:H3"/>
    <mergeCell ref="H6:H7"/>
    <mergeCell ref="H10:H11"/>
    <mergeCell ref="H14:H15"/>
    <mergeCell ref="G2:G3"/>
    <mergeCell ref="G6:G7"/>
    <mergeCell ref="G10:G11"/>
    <mergeCell ref="G14:G15"/>
    <mergeCell ref="R13:R15"/>
    <mergeCell ref="S13:S15"/>
    <mergeCell ref="T13:T15"/>
    <mergeCell ref="AI14:AI15"/>
    <mergeCell ref="AB13:AB14"/>
    <mergeCell ref="AD13:AD15"/>
    <mergeCell ref="A15:A16"/>
    <mergeCell ref="O15:O16"/>
    <mergeCell ref="AC15:AC16"/>
    <mergeCell ref="N13:N14"/>
    <mergeCell ref="P13:P15"/>
    <mergeCell ref="B13:B15"/>
    <mergeCell ref="C13:C15"/>
    <mergeCell ref="D13:D15"/>
    <mergeCell ref="F13:F15"/>
    <mergeCell ref="Q13:Q15"/>
    <mergeCell ref="AO14:AO16"/>
    <mergeCell ref="Y14:Y16"/>
    <mergeCell ref="Z14:Z16"/>
    <mergeCell ref="AA14:AA16"/>
    <mergeCell ref="AK14:AK16"/>
    <mergeCell ref="AG13:AG15"/>
    <mergeCell ref="AH13:AH15"/>
    <mergeCell ref="AE13:AE15"/>
    <mergeCell ref="AL14:AL16"/>
    <mergeCell ref="AF13:AF15"/>
    <mergeCell ref="AP13:AP14"/>
    <mergeCell ref="I14:I16"/>
    <mergeCell ref="J14:J16"/>
    <mergeCell ref="K14:K16"/>
    <mergeCell ref="L14:L16"/>
    <mergeCell ref="M14:M16"/>
    <mergeCell ref="W14:W16"/>
    <mergeCell ref="X14:X16"/>
    <mergeCell ref="AM14:AM16"/>
    <mergeCell ref="AN14:AN16"/>
    <mergeCell ref="AO10:AO12"/>
    <mergeCell ref="A11:A12"/>
    <mergeCell ref="O11:O12"/>
    <mergeCell ref="AC11:AC12"/>
    <mergeCell ref="AI10:AI11"/>
    <mergeCell ref="AL10:AL12"/>
    <mergeCell ref="AM10:AM12"/>
    <mergeCell ref="AN10:AN12"/>
    <mergeCell ref="M10:M12"/>
    <mergeCell ref="W10:W12"/>
    <mergeCell ref="X10:X12"/>
    <mergeCell ref="AB9:AB10"/>
    <mergeCell ref="Y10:Y12"/>
    <mergeCell ref="Z10:Z12"/>
    <mergeCell ref="AA10:AA12"/>
    <mergeCell ref="I10:I12"/>
    <mergeCell ref="J10:J12"/>
    <mergeCell ref="K10:K12"/>
    <mergeCell ref="L10:L12"/>
    <mergeCell ref="R9:R11"/>
    <mergeCell ref="S9:S11"/>
    <mergeCell ref="T9:T11"/>
    <mergeCell ref="AP9:AP10"/>
    <mergeCell ref="AD9:AD11"/>
    <mergeCell ref="AK10:AK12"/>
    <mergeCell ref="AG9:AG11"/>
    <mergeCell ref="AH9:AH11"/>
    <mergeCell ref="AE9:AE11"/>
    <mergeCell ref="AF9:AF11"/>
    <mergeCell ref="A7:A8"/>
    <mergeCell ref="O7:O8"/>
    <mergeCell ref="AC7:AC8"/>
    <mergeCell ref="B9:B11"/>
    <mergeCell ref="C9:C11"/>
    <mergeCell ref="D9:D11"/>
    <mergeCell ref="F9:F11"/>
    <mergeCell ref="N9:N10"/>
    <mergeCell ref="P9:P11"/>
    <mergeCell ref="Q9:Q11"/>
    <mergeCell ref="AL6:AL8"/>
    <mergeCell ref="AM6:AM8"/>
    <mergeCell ref="AN6:AN8"/>
    <mergeCell ref="AO6:AO8"/>
    <mergeCell ref="Y6:Y8"/>
    <mergeCell ref="Z6:Z8"/>
    <mergeCell ref="AA6:AA8"/>
    <mergeCell ref="AK6:AK8"/>
    <mergeCell ref="AG5:AG7"/>
    <mergeCell ref="AH5:AH7"/>
    <mergeCell ref="AE5:AE7"/>
    <mergeCell ref="AF5:AF7"/>
    <mergeCell ref="AI6:AI7"/>
    <mergeCell ref="AP5:AP6"/>
    <mergeCell ref="I6:I8"/>
    <mergeCell ref="J6:J8"/>
    <mergeCell ref="K6:K8"/>
    <mergeCell ref="L6:L8"/>
    <mergeCell ref="M6:M8"/>
    <mergeCell ref="W6:W8"/>
    <mergeCell ref="X6:X8"/>
    <mergeCell ref="AB5:AB6"/>
    <mergeCell ref="AD5:AD7"/>
    <mergeCell ref="Q5:Q7"/>
    <mergeCell ref="R5:R7"/>
    <mergeCell ref="S5:S7"/>
    <mergeCell ref="T5:T7"/>
    <mergeCell ref="E5:E7"/>
    <mergeCell ref="F5:F7"/>
    <mergeCell ref="N5:N6"/>
    <mergeCell ref="P5:P7"/>
    <mergeCell ref="AF1:AF3"/>
    <mergeCell ref="AG1:AG3"/>
    <mergeCell ref="AH1:AH3"/>
    <mergeCell ref="AP1:AP2"/>
    <mergeCell ref="AK2:AK4"/>
    <mergeCell ref="AL2:AL4"/>
    <mergeCell ref="AM2:AM4"/>
    <mergeCell ref="AN2:AN4"/>
    <mergeCell ref="AO2:AO4"/>
    <mergeCell ref="AI2:AI3"/>
    <mergeCell ref="R1:R3"/>
    <mergeCell ref="S1:S3"/>
    <mergeCell ref="B5:B7"/>
    <mergeCell ref="C5:C7"/>
    <mergeCell ref="D5:D7"/>
    <mergeCell ref="B1:B3"/>
    <mergeCell ref="C1:C3"/>
    <mergeCell ref="D1:D3"/>
    <mergeCell ref="E1:E3"/>
    <mergeCell ref="F1:F3"/>
    <mergeCell ref="O3:O4"/>
    <mergeCell ref="P1:P3"/>
    <mergeCell ref="Q1:Q3"/>
    <mergeCell ref="A3:A4"/>
    <mergeCell ref="I2:I4"/>
    <mergeCell ref="J2:J4"/>
    <mergeCell ref="K2:K4"/>
    <mergeCell ref="L2:L4"/>
    <mergeCell ref="M2:M4"/>
    <mergeCell ref="N1:N2"/>
    <mergeCell ref="AD1:AD3"/>
    <mergeCell ref="AE1:AE3"/>
    <mergeCell ref="AC3:AC4"/>
    <mergeCell ref="T1:T3"/>
    <mergeCell ref="AB1:AB2"/>
    <mergeCell ref="W2:W4"/>
    <mergeCell ref="X2:X4"/>
    <mergeCell ref="Y2:Y4"/>
    <mergeCell ref="Z2:Z4"/>
    <mergeCell ref="AA2:AA4"/>
    <mergeCell ref="N20:N21"/>
    <mergeCell ref="O20:O23"/>
    <mergeCell ref="P20:P22"/>
    <mergeCell ref="S20:S22"/>
    <mergeCell ref="Q22:Q23"/>
    <mergeCell ref="R22:R23"/>
    <mergeCell ref="N22:N23"/>
    <mergeCell ref="A20:A23"/>
    <mergeCell ref="B20:B22"/>
    <mergeCell ref="E20:E22"/>
    <mergeCell ref="H20:H23"/>
    <mergeCell ref="C22:C23"/>
    <mergeCell ref="D22:D23"/>
    <mergeCell ref="F22:F23"/>
    <mergeCell ref="AC20:AC23"/>
    <mergeCell ref="AD20:AD22"/>
    <mergeCell ref="W21:W23"/>
    <mergeCell ref="X21:X23"/>
    <mergeCell ref="Y21:Y23"/>
    <mergeCell ref="Z21:Z23"/>
    <mergeCell ref="AA21:AA23"/>
    <mergeCell ref="AG20:AG22"/>
    <mergeCell ref="AJ20:AJ23"/>
    <mergeCell ref="AP20:AP21"/>
    <mergeCell ref="G21:G22"/>
    <mergeCell ref="I21:I23"/>
    <mergeCell ref="J21:J23"/>
    <mergeCell ref="K21:K23"/>
    <mergeCell ref="L21:L23"/>
    <mergeCell ref="M21:M23"/>
    <mergeCell ref="U21:U22"/>
    <mergeCell ref="T22:T23"/>
    <mergeCell ref="AB22:AB23"/>
    <mergeCell ref="V20:V23"/>
    <mergeCell ref="AB20:AB21"/>
    <mergeCell ref="AE22:AE23"/>
    <mergeCell ref="AF22:AF23"/>
    <mergeCell ref="AH22:AH23"/>
    <mergeCell ref="AP22:AP23"/>
    <mergeCell ref="AN21:AN23"/>
    <mergeCell ref="AO21:AO23"/>
    <mergeCell ref="AI21:AI22"/>
    <mergeCell ref="AK21:AK23"/>
    <mergeCell ref="AL21:AL23"/>
    <mergeCell ref="AM21:AM23"/>
  </mergeCells>
  <printOptions horizontalCentered="1" verticalCentered="1"/>
  <pageMargins left="0.1968503937007874" right="0.5905511811023623" top="0.1968503937007874" bottom="0.1968503937007874" header="0" footer="0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3"/>
  <sheetViews>
    <sheetView workbookViewId="0" topLeftCell="A1">
      <selection activeCell="AR9" sqref="AR9:AR11"/>
    </sheetView>
  </sheetViews>
  <sheetFormatPr defaultColWidth="11.421875" defaultRowHeight="12.75"/>
  <cols>
    <col min="1" max="1" width="3.7109375" style="36" customWidth="1"/>
    <col min="2" max="2" width="2.7109375" style="1" customWidth="1"/>
    <col min="3" max="3" width="2.28125" style="3" customWidth="1"/>
    <col min="4" max="4" width="3.7109375" style="8" customWidth="1"/>
    <col min="5" max="5" width="1.7109375" style="32" customWidth="1"/>
    <col min="6" max="6" width="2.421875" style="1" customWidth="1"/>
    <col min="7" max="7" width="2.7109375" style="2" customWidth="1"/>
    <col min="8" max="8" width="2.7109375" style="57" customWidth="1"/>
    <col min="9" max="9" width="2.421875" style="0" customWidth="1"/>
    <col min="10" max="10" width="1.7109375" style="33" customWidth="1"/>
    <col min="11" max="11" width="3.7109375" style="10" customWidth="1"/>
    <col min="12" max="12" width="2.28125" style="0" customWidth="1"/>
    <col min="13" max="13" width="2.7109375" style="0" customWidth="1"/>
    <col min="14" max="14" width="3.7109375" style="41" customWidth="1"/>
    <col min="15" max="15" width="3.7109375" style="36" customWidth="1"/>
    <col min="16" max="16" width="2.7109375" style="1" customWidth="1"/>
    <col min="17" max="17" width="2.28125" style="3" customWidth="1"/>
    <col min="18" max="18" width="3.7109375" style="8" customWidth="1"/>
    <col min="19" max="19" width="1.7109375" style="32" customWidth="1"/>
    <col min="20" max="20" width="2.421875" style="1" customWidth="1"/>
    <col min="21" max="21" width="2.7109375" style="2" customWidth="1"/>
    <col min="22" max="22" width="2.7109375" style="57" customWidth="1"/>
    <col min="23" max="23" width="2.421875" style="0" customWidth="1"/>
    <col min="24" max="24" width="1.7109375" style="33" customWidth="1"/>
    <col min="25" max="25" width="3.7109375" style="10" customWidth="1"/>
    <col min="26" max="26" width="2.28125" style="0" customWidth="1"/>
    <col min="27" max="27" width="2.7109375" style="0" customWidth="1"/>
    <col min="28" max="28" width="3.7109375" style="41" customWidth="1"/>
    <col min="29" max="29" width="3.7109375" style="36" customWidth="1"/>
    <col min="30" max="30" width="2.7109375" style="1" customWidth="1"/>
    <col min="31" max="31" width="2.28125" style="3" customWidth="1"/>
    <col min="32" max="32" width="3.7109375" style="8" customWidth="1"/>
    <col min="33" max="33" width="1.7109375" style="32" customWidth="1"/>
    <col min="34" max="34" width="2.421875" style="1" customWidth="1"/>
    <col min="35" max="35" width="2.7109375" style="2" customWidth="1"/>
    <col min="36" max="36" width="2.7109375" style="57" customWidth="1"/>
    <col min="37" max="37" width="2.421875" style="0" customWidth="1"/>
    <col min="38" max="38" width="1.7109375" style="33" customWidth="1"/>
    <col min="39" max="39" width="3.7109375" style="10" customWidth="1"/>
    <col min="40" max="40" width="2.28125" style="0" customWidth="1"/>
    <col min="41" max="41" width="2.7109375" style="0" customWidth="1"/>
    <col min="42" max="42" width="3.7109375" style="41" customWidth="1"/>
    <col min="44" max="44" width="3.7109375" style="8" customWidth="1"/>
  </cols>
  <sheetData>
    <row r="1" spans="1:44" ht="24.75" customHeight="1">
      <c r="A1" s="34">
        <v>3</v>
      </c>
      <c r="B1" s="210">
        <f>IF(ISERROR(MATCH(Frachtsatz10,waybilldata!$A:$A,0)),"",VLOOKUP(Frachtsatz10,waybilldata!$A:$P,12))</f>
      </c>
      <c r="C1" s="198">
        <f>IF(ISERROR(MATCH(Frachtsatz10,waybilldata!$A:$A,0)),"",VLOOKUP(Frachtsatz10,waybilldata!$A:$P,13))</f>
      </c>
      <c r="D1" s="229">
        <f>IF(ISERROR(MATCH(Frachtsatz10,waybilldata!$A:$A,0)),"",VLOOKUP(Frachtsatz10,waybilldata!$A:$P,15))</f>
      </c>
      <c r="E1" s="231"/>
      <c r="F1" s="241">
        <f>IF(ISERROR(MATCH(Frachtsatz10,waybilldata!$A:$A,0)),"",VLOOKUP(Frachtsatz10,waybilldata!$A:$P,11))</f>
      </c>
      <c r="G1" s="7"/>
      <c r="H1" s="54"/>
      <c r="I1" s="11" t="s">
        <v>1</v>
      </c>
      <c r="J1" s="38"/>
      <c r="K1" s="13" t="s">
        <v>2</v>
      </c>
      <c r="L1" s="14"/>
      <c r="M1" s="15" t="s">
        <v>0</v>
      </c>
      <c r="N1" s="217">
        <f>IF(ISERROR(MATCH(Frachtsatz10,waybilldata!$A:$A,0)),"",VLOOKUP(Frachtsatz10,waybilldata!$A:$P,2))</f>
      </c>
      <c r="O1" s="34">
        <v>3</v>
      </c>
      <c r="P1" s="210">
        <f>IF(ISERROR(MATCH(Frachtsatz11,waybilldata!$A:$A,0)),"",VLOOKUP(Frachtsatz11,waybilldata!$A:$P,12))</f>
      </c>
      <c r="Q1" s="198">
        <f>IF(ISERROR(MATCH(Frachtsatz11,waybilldata!$A:$A,0)),"",VLOOKUP(Frachtsatz11,waybilldata!$A:$P,13))</f>
      </c>
      <c r="R1" s="229">
        <f>IF(ISERROR(MATCH(Frachtsatz11,waybilldata!$A:$A,0)),"",VLOOKUP(Frachtsatz11,waybilldata!$A:$P,15))</f>
      </c>
      <c r="S1" s="231"/>
      <c r="T1" s="241">
        <f>IF(ISERROR(MATCH(Frachtsatz11,waybilldata!$A:$A,0)),"",VLOOKUP(Frachtsatz11,waybilldata!$A:$P,11))</f>
      </c>
      <c r="U1" s="7"/>
      <c r="V1" s="54"/>
      <c r="W1" s="11" t="s">
        <v>1</v>
      </c>
      <c r="X1" s="38"/>
      <c r="Y1" s="13" t="s">
        <v>2</v>
      </c>
      <c r="Z1" s="14"/>
      <c r="AA1" s="15" t="s">
        <v>0</v>
      </c>
      <c r="AB1" s="217">
        <f>IF(ISERROR(MATCH(Frachtsatz11,waybilldata!$A:$A,0)),"",VLOOKUP(Frachtsatz11,waybilldata!$A:$P,2))</f>
      </c>
      <c r="AC1" s="34">
        <v>3</v>
      </c>
      <c r="AD1" s="210">
        <f>IF(ISERROR(MATCH(Frachtsatz12,waybilldata!$A:$A,0)),"",VLOOKUP(Frachtsatz12,waybilldata!$A:$P,12))</f>
      </c>
      <c r="AE1" s="198">
        <f>IF(ISERROR(MATCH(Frachtsatz12,waybilldata!$A:$A,0)),"",VLOOKUP(Frachtsatz12,waybilldata!$A:$P,13))</f>
      </c>
      <c r="AF1" s="229">
        <f>IF(ISERROR(MATCH(Frachtsatz12,waybilldata!$A:$A,0)),"",VLOOKUP(Frachtsatz12,waybilldata!$A:$P,15))</f>
      </c>
      <c r="AG1" s="231"/>
      <c r="AH1" s="241">
        <f>IF(ISERROR(MATCH(Frachtsatz12,waybilldata!$A:$A,0)),"",VLOOKUP(Frachtsatz12,waybilldata!$A:$P,11))</f>
      </c>
      <c r="AI1" s="7"/>
      <c r="AJ1" s="54"/>
      <c r="AK1" s="11" t="s">
        <v>1</v>
      </c>
      <c r="AL1" s="38"/>
      <c r="AM1" s="13" t="s">
        <v>2</v>
      </c>
      <c r="AN1" s="14"/>
      <c r="AO1" s="15" t="s">
        <v>0</v>
      </c>
      <c r="AP1" s="217">
        <f>IF(ISERROR(MATCH(Frachtsatz12,waybilldata!$A:$A,0)),"",VLOOKUP(Frachtsatz12,waybilldata!$A:$P,2))</f>
      </c>
      <c r="AR1" s="229" t="s">
        <v>116</v>
      </c>
    </row>
    <row r="2" spans="1:44" ht="42.75" customHeight="1">
      <c r="A2" s="35"/>
      <c r="B2" s="211"/>
      <c r="C2" s="212"/>
      <c r="D2" s="230"/>
      <c r="E2" s="232"/>
      <c r="F2" s="242"/>
      <c r="G2" s="237"/>
      <c r="H2" s="238"/>
      <c r="I2" s="196">
        <f>IF(ISERROR(MATCH(Frachtsatz10,waybilldata!$A:$A,0)),"",VLOOKUP(Frachtsatz10,waybilldata!$A:$P,14))</f>
      </c>
      <c r="J2" s="172"/>
      <c r="K2" s="169">
        <f>IF(ISERROR(MATCH(Frachtsatz10,waybilldata!$A:$A,0)),"",VLOOKUP(Frachtsatz10,waybilldata!$A:$P,12))</f>
      </c>
      <c r="L2" s="190">
        <f>IF(ISERROR(MATCH(Frachtsatz10,waybilldata!$A:$A,0)),"",VLOOKUP(Frachtsatz10,waybilldata!$A:$P,16))</f>
      </c>
      <c r="M2" s="193">
        <f>IF(ISERROR(MATCH(Frachtsatz10,waybilldata!$A:$A,0)),"",VLOOKUP(Frachtsatz10,waybilldata!$A:$P,15))</f>
      </c>
      <c r="N2" s="218"/>
      <c r="O2" s="35"/>
      <c r="P2" s="211"/>
      <c r="Q2" s="212"/>
      <c r="R2" s="230"/>
      <c r="S2" s="232"/>
      <c r="T2" s="242"/>
      <c r="U2" s="237"/>
      <c r="V2" s="238"/>
      <c r="W2" s="196">
        <f>IF(ISERROR(MATCH(Frachtsatz11,waybilldata!$A:$A,0)),"",VLOOKUP(Frachtsatz11,waybilldata!$A:$P,14))</f>
      </c>
      <c r="X2" s="172"/>
      <c r="Y2" s="169">
        <f>IF(ISERROR(MATCH(Frachtsatz11,waybilldata!$A:$A,0)),"",VLOOKUP(Frachtsatz11,waybilldata!$A:$P,12))</f>
      </c>
      <c r="Z2" s="190">
        <f>IF(ISERROR(MATCH(Frachtsatz11,waybilldata!$A:$A,0)),"",VLOOKUP(Frachtsatz11,waybilldata!$A:$P,16))</f>
      </c>
      <c r="AA2" s="193">
        <f>IF(ISERROR(MATCH(Frachtsatz11,waybilldata!$A:$A,0)),"",VLOOKUP(Frachtsatz11,waybilldata!$A:$P,15))</f>
      </c>
      <c r="AB2" s="218"/>
      <c r="AC2" s="35"/>
      <c r="AD2" s="211"/>
      <c r="AE2" s="212"/>
      <c r="AF2" s="230"/>
      <c r="AG2" s="232"/>
      <c r="AH2" s="242"/>
      <c r="AI2" s="237"/>
      <c r="AJ2" s="238"/>
      <c r="AK2" s="196">
        <f>IF(ISERROR(MATCH(Frachtsatz12,waybilldata!$A:$A,0)),"",VLOOKUP(Frachtsatz12,waybilldata!$A:$P,14))</f>
      </c>
      <c r="AL2" s="172"/>
      <c r="AM2" s="169">
        <f>IF(ISERROR(MATCH(Frachtsatz12,waybilldata!$A:$A,0)),"",VLOOKUP(Frachtsatz12,waybilldata!$A:$P,12))</f>
      </c>
      <c r="AN2" s="190">
        <f>IF(ISERROR(MATCH(Frachtsatz12,waybilldata!$A:$A,0)),"",VLOOKUP(Frachtsatz12,waybilldata!$A:$P,16))</f>
      </c>
      <c r="AO2" s="193">
        <f>IF(ISERROR(MATCH(Frachtsatz12,waybilldata!$A:$A,0)),"",VLOOKUP(Frachtsatz12,waybilldata!$A:$P,15))</f>
      </c>
      <c r="AP2" s="218"/>
      <c r="AR2" s="230"/>
    </row>
    <row r="3" spans="1:44" ht="42.75" customHeight="1">
      <c r="A3" s="223">
        <f>IF(ISERROR(MATCH(Frachtsatz10,waybilldata!$A:$A,0)),"",VLOOKUP(Frachtsatz10,waybilldata!$A:$P,2))</f>
      </c>
      <c r="B3" s="211"/>
      <c r="C3" s="212"/>
      <c r="D3" s="230"/>
      <c r="E3" s="232"/>
      <c r="F3" s="242"/>
      <c r="G3" s="237"/>
      <c r="H3" s="238"/>
      <c r="I3" s="196"/>
      <c r="J3" s="172"/>
      <c r="K3" s="169"/>
      <c r="L3" s="190"/>
      <c r="M3" s="193"/>
      <c r="N3" s="39"/>
      <c r="O3" s="223">
        <f>IF(ISERROR(MATCH(Frachtsatz11,waybilldata!$A:$A,0)),"",VLOOKUP(Frachtsatz11,waybilldata!$A:$P,2))</f>
      </c>
      <c r="P3" s="211"/>
      <c r="Q3" s="212"/>
      <c r="R3" s="230"/>
      <c r="S3" s="232"/>
      <c r="T3" s="242"/>
      <c r="U3" s="237"/>
      <c r="V3" s="238"/>
      <c r="W3" s="196"/>
      <c r="X3" s="172"/>
      <c r="Y3" s="169"/>
      <c r="Z3" s="190"/>
      <c r="AA3" s="193"/>
      <c r="AB3" s="39"/>
      <c r="AC3" s="223">
        <f>IF(ISERROR(MATCH(Frachtsatz12,waybilldata!$A:$A,0)),"",VLOOKUP(Frachtsatz12,waybilldata!$A:$P,2))</f>
      </c>
      <c r="AD3" s="211"/>
      <c r="AE3" s="212"/>
      <c r="AF3" s="230"/>
      <c r="AG3" s="232"/>
      <c r="AH3" s="242"/>
      <c r="AI3" s="237"/>
      <c r="AJ3" s="238"/>
      <c r="AK3" s="196"/>
      <c r="AL3" s="172"/>
      <c r="AM3" s="169"/>
      <c r="AN3" s="190"/>
      <c r="AO3" s="193"/>
      <c r="AP3" s="39"/>
      <c r="AR3" s="230"/>
    </row>
    <row r="4" spans="1:44" ht="24.75" customHeight="1">
      <c r="A4" s="224"/>
      <c r="B4" s="17" t="s">
        <v>0</v>
      </c>
      <c r="C4" s="4"/>
      <c r="D4" s="18" t="s">
        <v>2</v>
      </c>
      <c r="E4" s="37"/>
      <c r="F4" s="20" t="s">
        <v>1</v>
      </c>
      <c r="G4" s="4"/>
      <c r="H4" s="56"/>
      <c r="I4" s="219"/>
      <c r="J4" s="220"/>
      <c r="K4" s="170"/>
      <c r="L4" s="221"/>
      <c r="M4" s="222"/>
      <c r="N4" s="40">
        <v>4</v>
      </c>
      <c r="O4" s="224"/>
      <c r="P4" s="17" t="s">
        <v>0</v>
      </c>
      <c r="Q4" s="4"/>
      <c r="R4" s="18" t="s">
        <v>2</v>
      </c>
      <c r="S4" s="37"/>
      <c r="T4" s="20" t="s">
        <v>1</v>
      </c>
      <c r="U4" s="4"/>
      <c r="V4" s="56"/>
      <c r="W4" s="219"/>
      <c r="X4" s="220"/>
      <c r="Y4" s="170"/>
      <c r="Z4" s="221"/>
      <c r="AA4" s="222"/>
      <c r="AB4" s="40">
        <v>4</v>
      </c>
      <c r="AC4" s="224"/>
      <c r="AD4" s="17" t="s">
        <v>0</v>
      </c>
      <c r="AE4" s="4"/>
      <c r="AF4" s="18" t="s">
        <v>2</v>
      </c>
      <c r="AG4" s="37"/>
      <c r="AH4" s="20" t="s">
        <v>1</v>
      </c>
      <c r="AI4" s="4"/>
      <c r="AJ4" s="56"/>
      <c r="AK4" s="219"/>
      <c r="AL4" s="220"/>
      <c r="AM4" s="170"/>
      <c r="AN4" s="221"/>
      <c r="AO4" s="222"/>
      <c r="AP4" s="40">
        <v>4</v>
      </c>
      <c r="AR4" s="18"/>
    </row>
    <row r="5" spans="1:44" ht="24.75" customHeight="1">
      <c r="A5" s="42">
        <v>3</v>
      </c>
      <c r="B5" s="211">
        <f>IF(ISERROR(MATCH(Frachtsatz7,waybilldata!$A:$A,0)),"",VLOOKUP(Frachtsatz7,waybilldata!$A:$P,12))</f>
      </c>
      <c r="C5" s="212">
        <f>IF(ISERROR(MATCH(Frachtsatz7,waybilldata!$A:$A,0)),"",VLOOKUP(Frachtsatz7,waybilldata!$A:$P,13))</f>
      </c>
      <c r="D5" s="230">
        <f>IF(ISERROR(MATCH(Frachtsatz7,waybilldata!$A:$A,0)),"",VLOOKUP(Frachtsatz7,waybilldata!$A:$P,15))</f>
      </c>
      <c r="E5" s="232"/>
      <c r="F5" s="242">
        <f>IF(ISERROR(MATCH(Frachtsatz7,waybilldata!$A:$A,0)),"",VLOOKUP(Frachtsatz7,waybilldata!$A:$P,11))</f>
      </c>
      <c r="G5" s="3"/>
      <c r="H5" s="55"/>
      <c r="I5" s="43" t="s">
        <v>1</v>
      </c>
      <c r="J5" s="44"/>
      <c r="K5" s="45" t="s">
        <v>2</v>
      </c>
      <c r="L5" s="6"/>
      <c r="M5" s="46" t="s">
        <v>0</v>
      </c>
      <c r="N5" s="218">
        <f>IF(ISERROR(MATCH(Frachtsatz7,waybilldata!$A:$A,0)),"",VLOOKUP(Frachtsatz7,waybilldata!$A:$P,2))</f>
      </c>
      <c r="O5" s="42">
        <v>3</v>
      </c>
      <c r="P5" s="211">
        <f>IF(ISERROR(MATCH(Frachtsatz8,waybilldata!$A:$A,0)),"",VLOOKUP(Frachtsatz8,waybilldata!$A:$P,12))</f>
      </c>
      <c r="Q5" s="212">
        <f>IF(ISERROR(MATCH(Frachtsatz8,waybilldata!$A:$A,0)),"",VLOOKUP(Frachtsatz8,waybilldata!$A:$P,13))</f>
      </c>
      <c r="R5" s="230">
        <f>IF(ISERROR(MATCH(Frachtsatz8,waybilldata!$A:$A,0)),"",VLOOKUP(Frachtsatz8,waybilldata!$A:$P,15))</f>
      </c>
      <c r="S5" s="232"/>
      <c r="T5" s="242">
        <f>IF(ISERROR(MATCH(Frachtsatz8,waybilldata!$A:$A,0)),"",VLOOKUP(Frachtsatz8,waybilldata!$A:$P,11))</f>
      </c>
      <c r="U5" s="3"/>
      <c r="V5" s="55"/>
      <c r="W5" s="43" t="s">
        <v>1</v>
      </c>
      <c r="X5" s="44"/>
      <c r="Y5" s="45" t="s">
        <v>2</v>
      </c>
      <c r="Z5" s="6"/>
      <c r="AA5" s="46" t="s">
        <v>0</v>
      </c>
      <c r="AB5" s="218">
        <f>IF(ISERROR(MATCH(Frachtsatz8,waybilldata!$A:$A,0)),"",VLOOKUP(Frachtsatz8,waybilldata!$A:$P,2))</f>
      </c>
      <c r="AC5" s="42">
        <v>3</v>
      </c>
      <c r="AD5" s="211">
        <f>IF(ISERROR(MATCH(Frachtsatz9,waybilldata!$A:$A,0)),"",VLOOKUP(Frachtsatz9,waybilldata!$A:$P,12))</f>
      </c>
      <c r="AE5" s="212">
        <f>IF(ISERROR(MATCH(Frachtsatz9,waybilldata!$A:$A,0)),"",VLOOKUP(Frachtsatz9,waybilldata!$A:$P,13))</f>
      </c>
      <c r="AF5" s="230">
        <f>IF(ISERROR(MATCH(Frachtsatz9,waybilldata!$A:$A,0)),"",VLOOKUP(Frachtsatz9,waybilldata!$A:$P,15))</f>
      </c>
      <c r="AG5" s="232"/>
      <c r="AH5" s="242">
        <f>IF(ISERROR(MATCH(Frachtsatz9,waybilldata!$A:$A,0)),"",VLOOKUP(Frachtsatz9,waybilldata!$A:$P,11))</f>
      </c>
      <c r="AI5" s="3"/>
      <c r="AJ5" s="55"/>
      <c r="AK5" s="43" t="s">
        <v>1</v>
      </c>
      <c r="AL5" s="44"/>
      <c r="AM5" s="45" t="s">
        <v>2</v>
      </c>
      <c r="AN5" s="6"/>
      <c r="AO5" s="46" t="s">
        <v>0</v>
      </c>
      <c r="AP5" s="218">
        <f>IF(ISERROR(MATCH(Frachtsatz9,waybilldata!$A:$A,0)),"",VLOOKUP(Frachtsatz9,waybilldata!$A:$P,2))</f>
      </c>
      <c r="AR5" s="230" t="s">
        <v>116</v>
      </c>
    </row>
    <row r="6" spans="1:44" ht="42.75" customHeight="1">
      <c r="A6" s="35"/>
      <c r="B6" s="211"/>
      <c r="C6" s="212"/>
      <c r="D6" s="230"/>
      <c r="E6" s="232"/>
      <c r="F6" s="242"/>
      <c r="G6" s="237"/>
      <c r="H6" s="238"/>
      <c r="I6" s="196">
        <f>IF(ISERROR(MATCH(Frachtsatz7,waybilldata!$A:$A,0)),"",VLOOKUP(Frachtsatz7,waybilldata!$A:$P,14))</f>
      </c>
      <c r="J6" s="172"/>
      <c r="K6" s="169">
        <f>IF(ISERROR(MATCH(Frachtsatz7,waybilldata!$A:$A,0)),"",VLOOKUP(Frachtsatz7,waybilldata!$A:$P,12))</f>
      </c>
      <c r="L6" s="190">
        <f>IF(ISERROR(MATCH(Frachtsatz7,waybilldata!$A:$A,0)),"",VLOOKUP(Frachtsatz7,waybilldata!$A:$P,16))</f>
      </c>
      <c r="M6" s="193">
        <f>IF(ISERROR(MATCH(Frachtsatz7,waybilldata!$A:$A,0)),"",VLOOKUP(Frachtsatz7,waybilldata!$A:$P,15))</f>
      </c>
      <c r="N6" s="218"/>
      <c r="O6" s="35"/>
      <c r="P6" s="211"/>
      <c r="Q6" s="212"/>
      <c r="R6" s="230"/>
      <c r="S6" s="232"/>
      <c r="T6" s="242"/>
      <c r="U6" s="237"/>
      <c r="V6" s="238"/>
      <c r="W6" s="196">
        <f>IF(ISERROR(MATCH(Frachtsatz8,waybilldata!$A:$A,0)),"",VLOOKUP(Frachtsatz8,waybilldata!$A:$P,14))</f>
      </c>
      <c r="X6" s="172"/>
      <c r="Y6" s="169">
        <f>IF(ISERROR(MATCH(Frachtsatz8,waybilldata!$A:$A,0)),"",VLOOKUP(Frachtsatz8,waybilldata!$A:$P,12))</f>
      </c>
      <c r="Z6" s="190">
        <f>IF(ISERROR(MATCH(Frachtsatz8,waybilldata!$A:$A,0)),"",VLOOKUP(Frachtsatz8,waybilldata!$A:$P,16))</f>
      </c>
      <c r="AA6" s="193">
        <f>IF(ISERROR(MATCH(Frachtsatz8,waybilldata!$A:$A,0)),"",VLOOKUP(Frachtsatz8,waybilldata!$A:$P,15))</f>
      </c>
      <c r="AB6" s="218"/>
      <c r="AC6" s="35"/>
      <c r="AD6" s="211"/>
      <c r="AE6" s="212"/>
      <c r="AF6" s="230"/>
      <c r="AG6" s="232"/>
      <c r="AH6" s="242"/>
      <c r="AI6" s="237"/>
      <c r="AJ6" s="238"/>
      <c r="AK6" s="196">
        <f>IF(ISERROR(MATCH(Frachtsatz9,waybilldata!$A:$A,0)),"",VLOOKUP(Frachtsatz9,waybilldata!$A:$P,14))</f>
      </c>
      <c r="AL6" s="172"/>
      <c r="AM6" s="169">
        <f>IF(ISERROR(MATCH(Frachtsatz9,waybilldata!$A:$A,0)),"",VLOOKUP(Frachtsatz9,waybilldata!$A:$P,12))</f>
      </c>
      <c r="AN6" s="190">
        <f>IF(ISERROR(MATCH(Frachtsatz9,waybilldata!$A:$A,0)),"",VLOOKUP(Frachtsatz9,waybilldata!$A:$P,16))</f>
      </c>
      <c r="AO6" s="193">
        <f>IF(ISERROR(MATCH(Frachtsatz9,waybilldata!$A:$A,0)),"",VLOOKUP(Frachtsatz9,waybilldata!$A:$P,15))</f>
      </c>
      <c r="AP6" s="218"/>
      <c r="AR6" s="230"/>
    </row>
    <row r="7" spans="1:44" ht="42.75" customHeight="1">
      <c r="A7" s="223">
        <f>IF(ISERROR(MATCH(Frachtsatz7,waybilldata!$A:$A,0)),"",VLOOKUP(Frachtsatz7,waybilldata!$A:$P,2))</f>
      </c>
      <c r="B7" s="211"/>
      <c r="C7" s="212"/>
      <c r="D7" s="230"/>
      <c r="E7" s="232"/>
      <c r="F7" s="242"/>
      <c r="G7" s="237"/>
      <c r="H7" s="238"/>
      <c r="I7" s="196"/>
      <c r="J7" s="172"/>
      <c r="K7" s="169"/>
      <c r="L7" s="190"/>
      <c r="M7" s="193"/>
      <c r="N7" s="39"/>
      <c r="O7" s="223">
        <f>IF(ISERROR(MATCH(Frachtsatz8,waybilldata!$A:$A,0)),"",VLOOKUP(Frachtsatz8,waybilldata!$A:$P,2))</f>
      </c>
      <c r="P7" s="211"/>
      <c r="Q7" s="212"/>
      <c r="R7" s="230"/>
      <c r="S7" s="232"/>
      <c r="T7" s="242"/>
      <c r="U7" s="237"/>
      <c r="V7" s="238"/>
      <c r="W7" s="196"/>
      <c r="X7" s="172"/>
      <c r="Y7" s="169"/>
      <c r="Z7" s="190"/>
      <c r="AA7" s="193"/>
      <c r="AB7" s="39"/>
      <c r="AC7" s="223">
        <f>IF(ISERROR(MATCH(Frachtsatz9,waybilldata!$A:$A,0)),"",VLOOKUP(Frachtsatz9,waybilldata!$A:$P,2))</f>
      </c>
      <c r="AD7" s="211"/>
      <c r="AE7" s="212"/>
      <c r="AF7" s="230"/>
      <c r="AG7" s="232"/>
      <c r="AH7" s="242"/>
      <c r="AI7" s="237"/>
      <c r="AJ7" s="238"/>
      <c r="AK7" s="196"/>
      <c r="AL7" s="172"/>
      <c r="AM7" s="169"/>
      <c r="AN7" s="190"/>
      <c r="AO7" s="193"/>
      <c r="AP7" s="39"/>
      <c r="AR7" s="230"/>
    </row>
    <row r="8" spans="1:45" ht="24.75" customHeight="1">
      <c r="A8" s="223"/>
      <c r="B8" s="47" t="s">
        <v>0</v>
      </c>
      <c r="D8" s="48" t="s">
        <v>2</v>
      </c>
      <c r="E8" s="31"/>
      <c r="F8" s="49" t="s">
        <v>1</v>
      </c>
      <c r="G8" s="3"/>
      <c r="H8" s="55"/>
      <c r="I8" s="196"/>
      <c r="J8" s="220"/>
      <c r="K8" s="170"/>
      <c r="L8" s="190"/>
      <c r="M8" s="193"/>
      <c r="N8" s="50">
        <v>4</v>
      </c>
      <c r="O8" s="223"/>
      <c r="P8" s="47" t="s">
        <v>0</v>
      </c>
      <c r="R8" s="48" t="s">
        <v>2</v>
      </c>
      <c r="S8" s="31"/>
      <c r="T8" s="49" t="s">
        <v>1</v>
      </c>
      <c r="U8" s="3"/>
      <c r="V8" s="55"/>
      <c r="W8" s="196"/>
      <c r="X8" s="220"/>
      <c r="Y8" s="170"/>
      <c r="Z8" s="190"/>
      <c r="AA8" s="193"/>
      <c r="AB8" s="50">
        <v>4</v>
      </c>
      <c r="AC8" s="223"/>
      <c r="AD8" s="47" t="s">
        <v>0</v>
      </c>
      <c r="AF8" s="48" t="s">
        <v>2</v>
      </c>
      <c r="AG8" s="31"/>
      <c r="AH8" s="49" t="s">
        <v>1</v>
      </c>
      <c r="AI8" s="3"/>
      <c r="AJ8" s="55"/>
      <c r="AK8" s="196"/>
      <c r="AL8" s="220"/>
      <c r="AM8" s="170"/>
      <c r="AN8" s="190"/>
      <c r="AO8" s="193"/>
      <c r="AP8" s="50">
        <v>4</v>
      </c>
      <c r="AR8" s="48"/>
      <c r="AS8" t="s">
        <v>21</v>
      </c>
    </row>
    <row r="9" spans="1:44" ht="24.75" customHeight="1">
      <c r="A9" s="34">
        <v>3</v>
      </c>
      <c r="B9" s="210">
        <f>IF(ISERROR(MATCH(Frachtsatz4,waybilldata!$A:$A,0)),"",VLOOKUP(Frachtsatz4,waybilldata!$A:$P,12))</f>
        <v>0</v>
      </c>
      <c r="C9" s="198">
        <f>IF(ISERROR(MATCH(Frachtsatz4,waybilldata!$A:$A,0)),"",VLOOKUP(Frachtsatz4,waybilldata!$A:$P,13))</f>
        <v>0</v>
      </c>
      <c r="D9" s="229">
        <f>IF(ISERROR(MATCH(Frachtsatz4,waybilldata!$A:$A,0)),"",VLOOKUP(Frachtsatz4,waybilldata!$A:$P,15))</f>
        <v>0</v>
      </c>
      <c r="E9" s="231"/>
      <c r="F9" s="241">
        <f>IF(ISERROR(MATCH(Frachtsatz4,waybilldata!$A:$A,0)),"",VLOOKUP(Frachtsatz4,waybilldata!$A:$P,11))</f>
        <v>0</v>
      </c>
      <c r="G9" s="7"/>
      <c r="H9" s="54"/>
      <c r="I9" s="11" t="s">
        <v>1</v>
      </c>
      <c r="J9" s="38"/>
      <c r="K9" s="13" t="s">
        <v>2</v>
      </c>
      <c r="L9" s="14"/>
      <c r="M9" s="15" t="s">
        <v>0</v>
      </c>
      <c r="N9" s="217">
        <f>IF(ISERROR(MATCH(Frachtsatz4,waybilldata!$A:$A,0)),"",VLOOKUP(Frachtsatz4,waybilldata!$A:$P,2))</f>
        <v>0</v>
      </c>
      <c r="O9" s="34">
        <v>3</v>
      </c>
      <c r="P9" s="210">
        <f>IF(ISERROR(MATCH(Frachtsatz5,waybilldata!$A:$A,0)),"",VLOOKUP(Frachtsatz5,waybilldata!$A:$P,12))</f>
        <v>0</v>
      </c>
      <c r="Q9" s="198">
        <f>IF(ISERROR(MATCH(Frachtsatz5,waybilldata!$A:$A,0)),"",VLOOKUP(Frachtsatz5,waybilldata!$A:$P,13))</f>
        <v>0</v>
      </c>
      <c r="R9" s="229">
        <f>IF(ISERROR(MATCH(Frachtsatz5,waybilldata!$A:$A,0)),"",VLOOKUP(Frachtsatz5,waybilldata!$A:$P,15))</f>
        <v>0</v>
      </c>
      <c r="T9" s="241">
        <f>IF(ISERROR(MATCH(Frachtsatz5,waybilldata!$A:$A,0)),"",VLOOKUP(Frachtsatz5,waybilldata!$A:$P,11))</f>
        <v>0</v>
      </c>
      <c r="U9" s="7"/>
      <c r="V9" s="54"/>
      <c r="W9" s="11" t="s">
        <v>1</v>
      </c>
      <c r="X9" s="38"/>
      <c r="Y9" s="13" t="s">
        <v>2</v>
      </c>
      <c r="Z9" s="14"/>
      <c r="AA9" s="15" t="s">
        <v>0</v>
      </c>
      <c r="AB9" s="217">
        <f>IF(ISERROR(MATCH(Frachtsatz5,waybilldata!$A:$A,0)),"",VLOOKUP(Frachtsatz5,waybilldata!$A:$P,2))</f>
        <v>0</v>
      </c>
      <c r="AC9" s="34">
        <v>3</v>
      </c>
      <c r="AD9" s="210">
        <f>IF(ISERROR(MATCH(Frachtsatz6,waybilldata!$A:$A,0)),"",VLOOKUP(Frachtsatz6,waybilldata!$A:$P,12))</f>
      </c>
      <c r="AE9" s="198">
        <f>IF(ISERROR(MATCH(Frachtsatz6,waybilldata!$A:$A,0)),"",VLOOKUP(Frachtsatz6,waybilldata!$A:$P,13))</f>
      </c>
      <c r="AF9" s="229">
        <f>IF(ISERROR(MATCH(Frachtsatz6,waybilldata!$A:$A,0)),"",VLOOKUP(Frachtsatz6,waybilldata!$A:$P,15))</f>
      </c>
      <c r="AG9" s="231"/>
      <c r="AH9" s="241">
        <f>IF(ISERROR(MATCH(Frachtsatz6,waybilldata!$A:$A,0)),"",VLOOKUP(Frachtsatz6,waybilldata!$A:$P,11))</f>
      </c>
      <c r="AI9" s="7"/>
      <c r="AJ9" s="54"/>
      <c r="AK9" s="11" t="s">
        <v>1</v>
      </c>
      <c r="AL9" s="38"/>
      <c r="AM9" s="13" t="s">
        <v>2</v>
      </c>
      <c r="AN9" s="14"/>
      <c r="AO9" s="15" t="s">
        <v>0</v>
      </c>
      <c r="AP9" s="217">
        <f>IF(ISERROR(MATCH(Frachtsatz6,waybilldata!$A:$A,0)),"",VLOOKUP(Frachtsatz6,waybilldata!$A:$P,2))</f>
      </c>
      <c r="AR9" s="229" t="s">
        <v>116</v>
      </c>
    </row>
    <row r="10" spans="1:44" ht="42.75" customHeight="1">
      <c r="A10" s="35"/>
      <c r="B10" s="211"/>
      <c r="C10" s="212"/>
      <c r="D10" s="230"/>
      <c r="E10" s="232"/>
      <c r="F10" s="242"/>
      <c r="G10" s="237"/>
      <c r="H10" s="249"/>
      <c r="I10" s="196">
        <f>IF(ISERROR(MATCH(Frachtsatz4,waybilldata!$A:$A,0)),"",VLOOKUP(Frachtsatz4,waybilldata!$A:$P,14))</f>
        <v>0</v>
      </c>
      <c r="J10" s="172"/>
      <c r="K10" s="169">
        <f>IF(ISERROR(MATCH(Frachtsatz4,waybilldata!$A:$A,0)),"",VLOOKUP(Frachtsatz4,waybilldata!$A:$P,12))</f>
        <v>0</v>
      </c>
      <c r="L10" s="190">
        <f>IF(ISERROR(MATCH(Frachtsatz4,waybilldata!$A:$A,0)),"",VLOOKUP(Frachtsatz4,waybilldata!$A:$P,16))</f>
        <v>0</v>
      </c>
      <c r="M10" s="193">
        <f>IF(ISERROR(MATCH(Frachtsatz4,waybilldata!$A:$A,0)),"",VLOOKUP(Frachtsatz4,waybilldata!$A:$P,15))</f>
        <v>0</v>
      </c>
      <c r="N10" s="218"/>
      <c r="O10" s="35"/>
      <c r="P10" s="211"/>
      <c r="Q10" s="212"/>
      <c r="R10" s="230"/>
      <c r="T10" s="242"/>
      <c r="U10" s="237"/>
      <c r="V10" s="248"/>
      <c r="W10" s="196">
        <f>IF(ISERROR(MATCH(Frachtsatz5,waybilldata!$A:$A,0)),"",VLOOKUP(Frachtsatz5,waybilldata!$A:$P,14))</f>
        <v>0</v>
      </c>
      <c r="X10" s="172"/>
      <c r="Y10" s="169">
        <f>IF(ISERROR(MATCH(Frachtsatz5,waybilldata!$A:$A,0)),"",VLOOKUP(Frachtsatz5,waybilldata!$A:$P,12))</f>
        <v>0</v>
      </c>
      <c r="Z10" s="190">
        <f>IF(ISERROR(MATCH(Frachtsatz5,waybilldata!$A:$A,0)),"",VLOOKUP(Frachtsatz5,waybilldata!$A:$P,16))</f>
        <v>0</v>
      </c>
      <c r="AA10" s="193">
        <f>IF(ISERROR(MATCH(Frachtsatz5,waybilldata!$A:$A,0)),"",VLOOKUP(Frachtsatz5,waybilldata!$A:$P,15))</f>
        <v>0</v>
      </c>
      <c r="AB10" s="218"/>
      <c r="AC10" s="35"/>
      <c r="AD10" s="211"/>
      <c r="AE10" s="212"/>
      <c r="AF10" s="230"/>
      <c r="AG10" s="232"/>
      <c r="AH10" s="242"/>
      <c r="AI10" s="237"/>
      <c r="AJ10" s="238"/>
      <c r="AK10" s="196">
        <f>IF(ISERROR(MATCH(Frachtsatz6,waybilldata!$A:$A,0)),"",VLOOKUP(Frachtsatz6,waybilldata!$A:$P,14))</f>
      </c>
      <c r="AL10" s="172"/>
      <c r="AM10" s="169">
        <f>IF(ISERROR(MATCH(Frachtsatz6,waybilldata!$A:$A,0)),"",VLOOKUP(Frachtsatz6,waybilldata!$A:$P,12))</f>
      </c>
      <c r="AN10" s="190">
        <f>IF(ISERROR(MATCH(Frachtsatz6,waybilldata!$A:$A,0)),"",VLOOKUP(Frachtsatz6,waybilldata!$A:$P,16))</f>
      </c>
      <c r="AO10" s="193">
        <f>IF(ISERROR(MATCH(Frachtsatz6,waybilldata!$A:$A,0)),"",VLOOKUP(Frachtsatz6,waybilldata!$A:$P,15))</f>
      </c>
      <c r="AP10" s="218"/>
      <c r="AR10" s="230"/>
    </row>
    <row r="11" spans="1:44" ht="42.75" customHeight="1">
      <c r="A11" s="223">
        <f>IF(ISERROR(MATCH(Frachtsatz4,waybilldata!$A:$A,0)),"",VLOOKUP(Frachtsatz4,waybilldata!$A:$P,2))</f>
        <v>0</v>
      </c>
      <c r="B11" s="211"/>
      <c r="C11" s="212"/>
      <c r="D11" s="230"/>
      <c r="E11" s="232"/>
      <c r="F11" s="242"/>
      <c r="G11" s="237"/>
      <c r="H11" s="249"/>
      <c r="I11" s="196"/>
      <c r="J11" s="172"/>
      <c r="K11" s="169"/>
      <c r="L11" s="190"/>
      <c r="M11" s="193"/>
      <c r="N11" s="39"/>
      <c r="O11" s="223">
        <f>IF(ISERROR(MATCH(Frachtsatz5,waybilldata!$A:$A,0)),"",VLOOKUP(Frachtsatz5,waybilldata!$A:$P,2))</f>
        <v>0</v>
      </c>
      <c r="P11" s="211"/>
      <c r="Q11" s="212"/>
      <c r="R11" s="230"/>
      <c r="T11" s="242"/>
      <c r="U11" s="237"/>
      <c r="V11" s="248"/>
      <c r="W11" s="196"/>
      <c r="X11" s="172"/>
      <c r="Y11" s="169"/>
      <c r="Z11" s="190"/>
      <c r="AA11" s="193"/>
      <c r="AB11" s="39"/>
      <c r="AC11" s="223">
        <f>IF(ISERROR(MATCH(Frachtsatz6,waybilldata!$A:$A,0)),"",VLOOKUP(Frachtsatz6,waybilldata!$A:$P,2))</f>
      </c>
      <c r="AD11" s="211"/>
      <c r="AE11" s="212"/>
      <c r="AF11" s="230"/>
      <c r="AG11" s="232"/>
      <c r="AH11" s="242"/>
      <c r="AI11" s="237"/>
      <c r="AJ11" s="238"/>
      <c r="AK11" s="196"/>
      <c r="AL11" s="172"/>
      <c r="AM11" s="169"/>
      <c r="AN11" s="190"/>
      <c r="AO11" s="193"/>
      <c r="AP11" s="39"/>
      <c r="AR11" s="230"/>
    </row>
    <row r="12" spans="1:44" ht="24.75" customHeight="1">
      <c r="A12" s="224"/>
      <c r="B12" s="17" t="s">
        <v>0</v>
      </c>
      <c r="C12" s="4"/>
      <c r="D12" s="18" t="s">
        <v>2</v>
      </c>
      <c r="E12" s="37"/>
      <c r="F12" s="20" t="s">
        <v>1</v>
      </c>
      <c r="G12" s="4"/>
      <c r="H12" s="56"/>
      <c r="I12" s="219"/>
      <c r="J12" s="220"/>
      <c r="K12" s="170"/>
      <c r="L12" s="221"/>
      <c r="M12" s="222"/>
      <c r="N12" s="40">
        <v>4</v>
      </c>
      <c r="O12" s="224"/>
      <c r="P12" s="17" t="s">
        <v>0</v>
      </c>
      <c r="Q12" s="4"/>
      <c r="R12" s="18" t="s">
        <v>2</v>
      </c>
      <c r="S12" s="37"/>
      <c r="T12" s="20" t="s">
        <v>1</v>
      </c>
      <c r="U12" s="4"/>
      <c r="V12" s="56"/>
      <c r="W12" s="219"/>
      <c r="X12" s="220"/>
      <c r="Y12" s="170"/>
      <c r="Z12" s="221"/>
      <c r="AA12" s="222"/>
      <c r="AB12" s="40">
        <v>4</v>
      </c>
      <c r="AC12" s="224"/>
      <c r="AD12" s="17" t="s">
        <v>0</v>
      </c>
      <c r="AE12" s="4"/>
      <c r="AF12" s="18" t="s">
        <v>2</v>
      </c>
      <c r="AG12" s="37"/>
      <c r="AH12" s="20" t="s">
        <v>1</v>
      </c>
      <c r="AI12" s="4"/>
      <c r="AJ12" s="56"/>
      <c r="AK12" s="219"/>
      <c r="AL12" s="220"/>
      <c r="AM12" s="170"/>
      <c r="AN12" s="221"/>
      <c r="AO12" s="222"/>
      <c r="AP12" s="40">
        <v>4</v>
      </c>
      <c r="AR12" s="18"/>
    </row>
    <row r="13" spans="1:44" ht="24.75" customHeight="1">
      <c r="A13" s="34">
        <v>3</v>
      </c>
      <c r="B13" s="210">
        <f>IF(ISERROR(MATCH(Frachtsatz1,waybilldata!$A:$A,0)),"",VLOOKUP(Frachtsatz1,waybilldata!$A:$P,12))</f>
        <v>0</v>
      </c>
      <c r="C13" s="198">
        <f>IF(ISERROR(MATCH(Frachtsatz1,waybilldata!$A:$A,0)),"",VLOOKUP(Frachtsatz1,waybilldata!$A:$P,13))</f>
        <v>0</v>
      </c>
      <c r="D13" s="229" t="str">
        <f>IF(ISERROR(MATCH(Frachtsatz1,waybilldata!$A:$A,0)),"",VLOOKUP(Frachtsatz1,waybilldata!$A:$P,15))</f>
        <v>y</v>
      </c>
      <c r="E13" s="231"/>
      <c r="F13" s="241">
        <f>IF(ISERROR(MATCH(Frachtsatz1,waybilldata!$A:$A,0)),"",VLOOKUP(Frachtsatz1,waybilldata!$A:$P,11))</f>
        <v>0</v>
      </c>
      <c r="G13" s="7"/>
      <c r="H13" s="54"/>
      <c r="I13" s="11" t="s">
        <v>1</v>
      </c>
      <c r="J13" s="38"/>
      <c r="K13" s="13" t="s">
        <v>2</v>
      </c>
      <c r="L13" s="14"/>
      <c r="M13" s="15" t="s">
        <v>0</v>
      </c>
      <c r="N13" s="217" t="str">
        <f>IF(ISERROR(MATCH(Frachtsatz1,waybilldata!$A:$A,0)),"",VLOOKUP(Frachtsatz1,waybilldata!$A:$P,2))</f>
        <v>RP</v>
      </c>
      <c r="O13" s="34">
        <v>3</v>
      </c>
      <c r="P13" s="210">
        <f>IF(ISERROR(MATCH(Frachtsatz2,waybilldata!$A:$A,0)),"",VLOOKUP(Frachtsatz2,waybilldata!$A:$P,12))</f>
        <v>0</v>
      </c>
      <c r="Q13" s="198">
        <f>IF(ISERROR(MATCH(Frachtsatz2,waybilldata!$A:$A,0)),"",VLOOKUP(Frachtsatz2,waybilldata!$A:$P,13))</f>
        <v>0</v>
      </c>
      <c r="R13" s="229">
        <f>IF(ISERROR(MATCH(Frachtsatz2,waybilldata!$A:$A,0)),"",VLOOKUP(Frachtsatz2,waybilldata!$A:$P,15))</f>
        <v>0</v>
      </c>
      <c r="T13" s="241">
        <f>IF(ISERROR(MATCH(Frachtsatz2,waybilldata!$A:$A,0)),"",VLOOKUP(Frachtsatz2,waybilldata!$A:$P,11))</f>
        <v>0</v>
      </c>
      <c r="U13" s="7"/>
      <c r="V13" s="54"/>
      <c r="W13" s="11" t="s">
        <v>1</v>
      </c>
      <c r="X13" s="38"/>
      <c r="Y13" s="13" t="s">
        <v>2</v>
      </c>
      <c r="Z13" s="14"/>
      <c r="AA13" s="15" t="s">
        <v>0</v>
      </c>
      <c r="AB13" s="217" t="str">
        <f>IF(ISERROR(MATCH(Frachtsatz2,waybilldata!$A:$A,0)),"",VLOOKUP(Frachtsatz2,waybilldata!$A:$P,2))</f>
        <v>LOG</v>
      </c>
      <c r="AC13" s="34">
        <v>3</v>
      </c>
      <c r="AD13" s="210" t="str">
        <f>IF(ISERROR(MATCH(Frachtsatz3,waybilldata!$A:$A,0)),"",VLOOKUP(Frachtsatz3,waybilldata!$A:$P,12))</f>
        <v>Plywood District</v>
      </c>
      <c r="AE13" s="198" t="str">
        <f>IF(ISERROR(MATCH(Frachtsatz3,waybilldata!$A:$A,0)),"",VLOOKUP(Frachtsatz3,waybilldata!$A:$P,13))</f>
        <v>KWIK-E-MART</v>
      </c>
      <c r="AF13" s="229" t="str">
        <f>IF(ISERROR(MATCH(Frachtsatz3,waybilldata!$A:$A,0)),"",VLOOKUP(Frachtsatz3,waybilldata!$A:$P,15))</f>
        <v>South Jct.</v>
      </c>
      <c r="AG13" s="231"/>
      <c r="AH13" s="241" t="str">
        <f>IF(ISERROR(MATCH(Frachtsatz3,waybilldata!$A:$A,0)),"",VLOOKUP(Frachtsatz3,waybilldata!$A:$P,11))</f>
        <v>Beverages</v>
      </c>
      <c r="AI13" s="7"/>
      <c r="AJ13" s="54"/>
      <c r="AK13" s="11" t="s">
        <v>1</v>
      </c>
      <c r="AL13" s="38"/>
      <c r="AM13" s="13" t="s">
        <v>2</v>
      </c>
      <c r="AN13" s="14"/>
      <c r="AO13" s="15" t="s">
        <v>0</v>
      </c>
      <c r="AP13" s="217" t="str">
        <f>IF(ISERROR(MATCH(Frachtsatz3,waybilldata!$A:$A,0)),"",VLOOKUP(Frachtsatz3,waybilldata!$A:$P,2))</f>
        <v>XM</v>
      </c>
      <c r="AQ13" s="94"/>
      <c r="AR13" s="229" t="s">
        <v>116</v>
      </c>
    </row>
    <row r="14" spans="1:44" ht="42.75" customHeight="1">
      <c r="A14" s="35"/>
      <c r="B14" s="211"/>
      <c r="C14" s="212"/>
      <c r="D14" s="230"/>
      <c r="E14" s="232"/>
      <c r="F14" s="242"/>
      <c r="G14" s="237"/>
      <c r="H14" s="249"/>
      <c r="I14" s="196">
        <f>IF(ISERROR(MATCH(Frachtsatz1,waybilldata!$A:$A,0)),"",VLOOKUP(Frachtsatz1,waybilldata!$A:$P,14))</f>
        <v>0</v>
      </c>
      <c r="J14" s="172"/>
      <c r="K14" s="169">
        <f>IF(ISERROR(MATCH(Frachtsatz1,waybilldata!$A:$A,0)),"",VLOOKUP(Frachtsatz1,waybilldata!$A:$P,12))</f>
        <v>0</v>
      </c>
      <c r="L14" s="190" t="str">
        <f>IF(ISERROR(MATCH(Frachtsatz1,waybilldata!$A:$A,0)),"",VLOOKUP(Frachtsatz1,waybilldata!$A:$P,16))</f>
        <v>CN Yard</v>
      </c>
      <c r="M14" s="193" t="str">
        <f>IF(ISERROR(MATCH(Frachtsatz1,waybilldata!$A:$A,0)),"",VLOOKUP(Frachtsatz1,waybilldata!$A:$P,15))</f>
        <v>y</v>
      </c>
      <c r="N14" s="218"/>
      <c r="O14" s="35"/>
      <c r="P14" s="211"/>
      <c r="Q14" s="212"/>
      <c r="R14" s="230"/>
      <c r="T14" s="242"/>
      <c r="U14" s="237"/>
      <c r="V14" s="248"/>
      <c r="W14" s="196">
        <f>IF(ISERROR(MATCH(Frachtsatz2,waybilldata!$A:$A,0)),"",VLOOKUP(Frachtsatz2,waybilldata!$A:$P,14))</f>
        <v>0</v>
      </c>
      <c r="X14" s="172"/>
      <c r="Y14" s="169">
        <f>IF(ISERROR(MATCH(Frachtsatz2,waybilldata!$A:$A,0)),"",VLOOKUP(Frachtsatz2,waybilldata!$A:$P,12))</f>
        <v>0</v>
      </c>
      <c r="Z14" s="190">
        <f>IF(ISERROR(MATCH(Frachtsatz2,waybilldata!$A:$A,0)),"",VLOOKUP(Frachtsatz2,waybilldata!$A:$P,16))</f>
        <v>0</v>
      </c>
      <c r="AA14" s="193">
        <f>IF(ISERROR(MATCH(Frachtsatz2,waybilldata!$A:$A,0)),"",VLOOKUP(Frachtsatz2,waybilldata!$A:$P,15))</f>
        <v>0</v>
      </c>
      <c r="AB14" s="218"/>
      <c r="AC14" s="35"/>
      <c r="AD14" s="211"/>
      <c r="AE14" s="212"/>
      <c r="AF14" s="230"/>
      <c r="AG14" s="232"/>
      <c r="AH14" s="242"/>
      <c r="AI14" s="237"/>
      <c r="AJ14" s="238"/>
      <c r="AK14" s="196" t="str">
        <f>IF(ISERROR(MATCH(Frachtsatz3,waybilldata!$A:$A,0)),"",VLOOKUP(Frachtsatz3,waybilldata!$A:$P,14))</f>
        <v>mty</v>
      </c>
      <c r="AL14" s="172"/>
      <c r="AM14" s="169" t="str">
        <f>IF(ISERROR(MATCH(Frachtsatz3,waybilldata!$A:$A,0)),"",VLOOKUP(Frachtsatz3,waybilldata!$A:$P,12))</f>
        <v>Plywood District</v>
      </c>
      <c r="AN14" s="190" t="str">
        <f>IF(ISERROR(MATCH(Frachtsatz3,waybilldata!$A:$A,0)),"",VLOOKUP(Frachtsatz3,waybilldata!$A:$P,16))</f>
        <v>CN Yard</v>
      </c>
      <c r="AO14" s="193" t="str">
        <f>IF(ISERROR(MATCH(Frachtsatz3,waybilldata!$A:$A,0)),"",VLOOKUP(Frachtsatz3,waybilldata!$A:$P,15))</f>
        <v>South Jct.</v>
      </c>
      <c r="AP14" s="218"/>
      <c r="AQ14" s="94"/>
      <c r="AR14" s="230"/>
    </row>
    <row r="15" spans="1:44" ht="42.75" customHeight="1">
      <c r="A15" s="223" t="str">
        <f>IF(ISERROR(MATCH(Frachtsatz1,waybilldata!$A:$A,0)),"",VLOOKUP(Frachtsatz1,waybilldata!$A:$P,2))</f>
        <v>RP</v>
      </c>
      <c r="B15" s="211"/>
      <c r="C15" s="212"/>
      <c r="D15" s="230"/>
      <c r="E15" s="232"/>
      <c r="F15" s="242"/>
      <c r="G15" s="237"/>
      <c r="H15" s="249"/>
      <c r="I15" s="196"/>
      <c r="J15" s="172"/>
      <c r="K15" s="169"/>
      <c r="L15" s="190"/>
      <c r="M15" s="193"/>
      <c r="N15" s="39"/>
      <c r="O15" s="223" t="str">
        <f>IF(ISERROR(MATCH(Frachtsatz2,waybilldata!$A:$A,0)),"",VLOOKUP(Frachtsatz2,waybilldata!$A:$P,2))</f>
        <v>LOG</v>
      </c>
      <c r="P15" s="211"/>
      <c r="Q15" s="212"/>
      <c r="R15" s="230"/>
      <c r="T15" s="242"/>
      <c r="U15" s="237"/>
      <c r="V15" s="248"/>
      <c r="W15" s="196"/>
      <c r="X15" s="172"/>
      <c r="Y15" s="169"/>
      <c r="Z15" s="190"/>
      <c r="AA15" s="193"/>
      <c r="AB15" s="39"/>
      <c r="AC15" s="223" t="str">
        <f>IF(ISERROR(MATCH(Frachtsatz3,waybilldata!$A:$A,0)),"",VLOOKUP(Frachtsatz3,waybilldata!$A:$P,2))</f>
        <v>XM</v>
      </c>
      <c r="AD15" s="211"/>
      <c r="AE15" s="212"/>
      <c r="AF15" s="230"/>
      <c r="AG15" s="232"/>
      <c r="AH15" s="242"/>
      <c r="AI15" s="237"/>
      <c r="AJ15" s="238"/>
      <c r="AK15" s="196"/>
      <c r="AL15" s="172"/>
      <c r="AM15" s="169"/>
      <c r="AN15" s="190"/>
      <c r="AO15" s="193"/>
      <c r="AP15" s="39"/>
      <c r="AQ15" s="94"/>
      <c r="AR15" s="230"/>
    </row>
    <row r="16" spans="1:44" ht="24.75" customHeight="1">
      <c r="A16" s="224"/>
      <c r="B16" s="17" t="s">
        <v>0</v>
      </c>
      <c r="C16" s="4"/>
      <c r="D16" s="18" t="s">
        <v>2</v>
      </c>
      <c r="E16" s="37"/>
      <c r="F16" s="20" t="s">
        <v>1</v>
      </c>
      <c r="G16" s="4"/>
      <c r="H16" s="56"/>
      <c r="I16" s="219"/>
      <c r="J16" s="220"/>
      <c r="K16" s="170"/>
      <c r="L16" s="221"/>
      <c r="M16" s="222"/>
      <c r="N16" s="40">
        <v>4</v>
      </c>
      <c r="O16" s="224"/>
      <c r="P16" s="17" t="s">
        <v>0</v>
      </c>
      <c r="Q16" s="4"/>
      <c r="R16" s="18" t="s">
        <v>2</v>
      </c>
      <c r="S16" s="37"/>
      <c r="T16" s="20" t="s">
        <v>1</v>
      </c>
      <c r="U16" s="4"/>
      <c r="V16" s="56"/>
      <c r="W16" s="219"/>
      <c r="X16" s="220"/>
      <c r="Y16" s="170"/>
      <c r="Z16" s="221"/>
      <c r="AA16" s="222"/>
      <c r="AB16" s="40">
        <v>4</v>
      </c>
      <c r="AC16" s="224"/>
      <c r="AD16" s="17" t="s">
        <v>0</v>
      </c>
      <c r="AE16" s="4"/>
      <c r="AF16" s="18" t="s">
        <v>2</v>
      </c>
      <c r="AG16" s="37"/>
      <c r="AH16" s="20" t="s">
        <v>1</v>
      </c>
      <c r="AI16" s="4"/>
      <c r="AJ16" s="56"/>
      <c r="AK16" s="219"/>
      <c r="AL16" s="220"/>
      <c r="AM16" s="170"/>
      <c r="AN16" s="221"/>
      <c r="AO16" s="222"/>
      <c r="AP16" s="40">
        <v>4</v>
      </c>
      <c r="AQ16" s="94"/>
      <c r="AR16" s="18"/>
    </row>
    <row r="18" ht="26.25">
      <c r="N18" s="93" t="s">
        <v>50</v>
      </c>
    </row>
    <row r="20" spans="1:44" ht="24.75" customHeight="1">
      <c r="A20" s="84">
        <v>1</v>
      </c>
      <c r="B20" s="208"/>
      <c r="C20" s="198"/>
      <c r="D20" s="229"/>
      <c r="E20" s="231"/>
      <c r="F20" s="241"/>
      <c r="G20" s="7"/>
      <c r="H20" s="54"/>
      <c r="I20" s="11" t="s">
        <v>1</v>
      </c>
      <c r="J20" s="38"/>
      <c r="K20" s="13" t="s">
        <v>2</v>
      </c>
      <c r="L20" s="14"/>
      <c r="M20" s="85" t="s">
        <v>0</v>
      </c>
      <c r="N20" s="246"/>
      <c r="O20" s="84">
        <v>1</v>
      </c>
      <c r="P20" s="208"/>
      <c r="Q20" s="198"/>
      <c r="R20" s="229"/>
      <c r="S20" s="231"/>
      <c r="T20" s="241"/>
      <c r="U20" s="7"/>
      <c r="V20" s="54"/>
      <c r="W20" s="11" t="s">
        <v>1</v>
      </c>
      <c r="X20" s="38"/>
      <c r="Y20" s="13" t="s">
        <v>2</v>
      </c>
      <c r="Z20" s="14"/>
      <c r="AA20" s="85" t="s">
        <v>0</v>
      </c>
      <c r="AB20" s="246"/>
      <c r="AC20" s="84">
        <v>1</v>
      </c>
      <c r="AD20" s="208"/>
      <c r="AE20" s="198"/>
      <c r="AF20" s="229"/>
      <c r="AG20" s="231"/>
      <c r="AH20" s="241"/>
      <c r="AI20" s="7"/>
      <c r="AJ20" s="54"/>
      <c r="AK20" s="11" t="s">
        <v>1</v>
      </c>
      <c r="AL20" s="38"/>
      <c r="AM20" s="13" t="s">
        <v>2</v>
      </c>
      <c r="AN20" s="14"/>
      <c r="AO20" s="85" t="s">
        <v>0</v>
      </c>
      <c r="AP20" s="246"/>
      <c r="AR20" s="229"/>
    </row>
    <row r="21" spans="1:44" ht="42.75" customHeight="1">
      <c r="A21" s="86" t="s">
        <v>37</v>
      </c>
      <c r="B21" s="245"/>
      <c r="C21" s="212"/>
      <c r="D21" s="230"/>
      <c r="E21" s="232"/>
      <c r="F21" s="242"/>
      <c r="G21" s="237"/>
      <c r="H21" s="238"/>
      <c r="I21" s="196"/>
      <c r="J21" s="172"/>
      <c r="K21" s="169"/>
      <c r="L21" s="190"/>
      <c r="M21" s="243"/>
      <c r="N21" s="247"/>
      <c r="O21" s="86" t="s">
        <v>37</v>
      </c>
      <c r="P21" s="245"/>
      <c r="Q21" s="212"/>
      <c r="R21" s="230"/>
      <c r="S21" s="232"/>
      <c r="T21" s="242"/>
      <c r="U21" s="237"/>
      <c r="V21" s="238"/>
      <c r="W21" s="196"/>
      <c r="X21" s="172"/>
      <c r="Y21" s="169"/>
      <c r="Z21" s="190"/>
      <c r="AA21" s="243"/>
      <c r="AB21" s="247"/>
      <c r="AC21" s="86" t="s">
        <v>37</v>
      </c>
      <c r="AD21" s="245"/>
      <c r="AE21" s="212"/>
      <c r="AF21" s="230"/>
      <c r="AG21" s="232"/>
      <c r="AH21" s="242"/>
      <c r="AI21" s="237"/>
      <c r="AJ21" s="238"/>
      <c r="AK21" s="196"/>
      <c r="AL21" s="172"/>
      <c r="AM21" s="169"/>
      <c r="AN21" s="190"/>
      <c r="AO21" s="243"/>
      <c r="AP21" s="247"/>
      <c r="AR21" s="230"/>
    </row>
    <row r="22" spans="1:44" ht="42.75" customHeight="1">
      <c r="A22" s="239" t="s">
        <v>38</v>
      </c>
      <c r="B22" s="245"/>
      <c r="C22" s="212"/>
      <c r="D22" s="230"/>
      <c r="E22" s="232"/>
      <c r="F22" s="242"/>
      <c r="G22" s="237"/>
      <c r="H22" s="238"/>
      <c r="I22" s="196"/>
      <c r="J22" s="172"/>
      <c r="K22" s="169"/>
      <c r="L22" s="190"/>
      <c r="M22" s="243"/>
      <c r="N22" s="87"/>
      <c r="O22" s="239" t="s">
        <v>38</v>
      </c>
      <c r="P22" s="245"/>
      <c r="Q22" s="212"/>
      <c r="R22" s="230"/>
      <c r="S22" s="232"/>
      <c r="T22" s="242"/>
      <c r="U22" s="237"/>
      <c r="V22" s="238"/>
      <c r="W22" s="196"/>
      <c r="X22" s="172"/>
      <c r="Y22" s="169"/>
      <c r="Z22" s="190"/>
      <c r="AA22" s="243"/>
      <c r="AB22" s="87"/>
      <c r="AC22" s="239" t="s">
        <v>38</v>
      </c>
      <c r="AD22" s="245"/>
      <c r="AE22" s="212"/>
      <c r="AF22" s="230"/>
      <c r="AG22" s="232"/>
      <c r="AH22" s="242"/>
      <c r="AI22" s="237"/>
      <c r="AJ22" s="238"/>
      <c r="AK22" s="196"/>
      <c r="AL22" s="172"/>
      <c r="AM22" s="169"/>
      <c r="AN22" s="190"/>
      <c r="AO22" s="243"/>
      <c r="AP22" s="87"/>
      <c r="AR22" s="230"/>
    </row>
    <row r="23" spans="1:44" ht="24.75" customHeight="1">
      <c r="A23" s="240"/>
      <c r="B23" s="88" t="s">
        <v>0</v>
      </c>
      <c r="C23" s="4"/>
      <c r="D23" s="18" t="s">
        <v>2</v>
      </c>
      <c r="E23" s="37"/>
      <c r="F23" s="20" t="s">
        <v>1</v>
      </c>
      <c r="G23" s="4"/>
      <c r="H23" s="56"/>
      <c r="I23" s="219"/>
      <c r="J23" s="220"/>
      <c r="K23" s="170"/>
      <c r="L23" s="221"/>
      <c r="M23" s="244"/>
      <c r="N23" s="89">
        <v>2</v>
      </c>
      <c r="O23" s="240"/>
      <c r="P23" s="88" t="s">
        <v>0</v>
      </c>
      <c r="Q23" s="4"/>
      <c r="R23" s="18" t="s">
        <v>2</v>
      </c>
      <c r="S23" s="37"/>
      <c r="T23" s="20" t="s">
        <v>1</v>
      </c>
      <c r="U23" s="4"/>
      <c r="V23" s="56"/>
      <c r="W23" s="219"/>
      <c r="X23" s="220"/>
      <c r="Y23" s="170"/>
      <c r="Z23" s="221"/>
      <c r="AA23" s="244"/>
      <c r="AB23" s="89">
        <v>2</v>
      </c>
      <c r="AC23" s="240"/>
      <c r="AD23" s="88" t="s">
        <v>0</v>
      </c>
      <c r="AE23" s="4"/>
      <c r="AF23" s="18" t="s">
        <v>2</v>
      </c>
      <c r="AG23" s="37"/>
      <c r="AH23" s="20" t="s">
        <v>1</v>
      </c>
      <c r="AI23" s="4"/>
      <c r="AJ23" s="56"/>
      <c r="AK23" s="219"/>
      <c r="AL23" s="220"/>
      <c r="AM23" s="170"/>
      <c r="AN23" s="221"/>
      <c r="AO23" s="244"/>
      <c r="AP23" s="89">
        <v>2</v>
      </c>
      <c r="AR23" s="18"/>
    </row>
  </sheetData>
  <mergeCells count="213">
    <mergeCell ref="H2:H3"/>
    <mergeCell ref="H6:H7"/>
    <mergeCell ref="H10:H11"/>
    <mergeCell ref="H14:H15"/>
    <mergeCell ref="A3:A4"/>
    <mergeCell ref="O3:O4"/>
    <mergeCell ref="AD1:AD3"/>
    <mergeCell ref="AE1:AE3"/>
    <mergeCell ref="AC3:AC4"/>
    <mergeCell ref="T1:T3"/>
    <mergeCell ref="AB1:AB2"/>
    <mergeCell ref="W2:W4"/>
    <mergeCell ref="X2:X4"/>
    <mergeCell ref="Y2:Y4"/>
    <mergeCell ref="B1:B3"/>
    <mergeCell ref="C1:C3"/>
    <mergeCell ref="D1:D3"/>
    <mergeCell ref="E1:E3"/>
    <mergeCell ref="AH1:AH3"/>
    <mergeCell ref="AP1:AP2"/>
    <mergeCell ref="AK2:AK4"/>
    <mergeCell ref="AL2:AL4"/>
    <mergeCell ref="AM2:AM4"/>
    <mergeCell ref="AN2:AN4"/>
    <mergeCell ref="AO2:AO4"/>
    <mergeCell ref="AI2:AI3"/>
    <mergeCell ref="AJ2:AJ3"/>
    <mergeCell ref="K2:K4"/>
    <mergeCell ref="F1:F3"/>
    <mergeCell ref="J2:J4"/>
    <mergeCell ref="AG1:AG3"/>
    <mergeCell ref="I2:I4"/>
    <mergeCell ref="G2:G3"/>
    <mergeCell ref="Z2:Z4"/>
    <mergeCell ref="AA2:AA4"/>
    <mergeCell ref="P1:P3"/>
    <mergeCell ref="Q1:Q3"/>
    <mergeCell ref="AF1:AF3"/>
    <mergeCell ref="N1:N2"/>
    <mergeCell ref="M2:M4"/>
    <mergeCell ref="L2:L4"/>
    <mergeCell ref="R1:R3"/>
    <mergeCell ref="S1:S3"/>
    <mergeCell ref="U2:U3"/>
    <mergeCell ref="V2:V3"/>
    <mergeCell ref="AP5:AP6"/>
    <mergeCell ref="I6:I8"/>
    <mergeCell ref="J6:J8"/>
    <mergeCell ref="K6:K8"/>
    <mergeCell ref="L6:L8"/>
    <mergeCell ref="M6:M8"/>
    <mergeCell ref="W6:W8"/>
    <mergeCell ref="X6:X8"/>
    <mergeCell ref="AB5:AB6"/>
    <mergeCell ref="AD5:AD7"/>
    <mergeCell ref="AA6:AA8"/>
    <mergeCell ref="AK6:AK8"/>
    <mergeCell ref="AG5:AG7"/>
    <mergeCell ref="AH5:AH7"/>
    <mergeCell ref="AE5:AE7"/>
    <mergeCell ref="AF5:AF7"/>
    <mergeCell ref="AI6:AI7"/>
    <mergeCell ref="AJ6:AJ7"/>
    <mergeCell ref="AC7:AC8"/>
    <mergeCell ref="AL6:AL8"/>
    <mergeCell ref="AM6:AM8"/>
    <mergeCell ref="AN6:AN8"/>
    <mergeCell ref="AO6:AO8"/>
    <mergeCell ref="B9:B11"/>
    <mergeCell ref="C9:C11"/>
    <mergeCell ref="D9:D11"/>
    <mergeCell ref="E9:E11"/>
    <mergeCell ref="F9:F11"/>
    <mergeCell ref="N9:N10"/>
    <mergeCell ref="P9:P11"/>
    <mergeCell ref="Y6:Y8"/>
    <mergeCell ref="F5:F7"/>
    <mergeCell ref="N5:N6"/>
    <mergeCell ref="P5:P7"/>
    <mergeCell ref="G6:G7"/>
    <mergeCell ref="G10:G11"/>
    <mergeCell ref="U6:U7"/>
    <mergeCell ref="Z6:Z8"/>
    <mergeCell ref="Q9:Q11"/>
    <mergeCell ref="R9:R11"/>
    <mergeCell ref="T9:T11"/>
    <mergeCell ref="S5:S7"/>
    <mergeCell ref="T5:T7"/>
    <mergeCell ref="Z10:Z12"/>
    <mergeCell ref="U10:U11"/>
    <mergeCell ref="V6:V7"/>
    <mergeCell ref="V10:V11"/>
    <mergeCell ref="A7:A8"/>
    <mergeCell ref="O7:O8"/>
    <mergeCell ref="Q5:Q7"/>
    <mergeCell ref="R5:R7"/>
    <mergeCell ref="E5:E7"/>
    <mergeCell ref="B5:B7"/>
    <mergeCell ref="C5:C7"/>
    <mergeCell ref="D5:D7"/>
    <mergeCell ref="AP9:AP10"/>
    <mergeCell ref="I10:I12"/>
    <mergeCell ref="J10:J12"/>
    <mergeCell ref="K10:K12"/>
    <mergeCell ref="L10:L12"/>
    <mergeCell ref="M10:M12"/>
    <mergeCell ref="W10:W12"/>
    <mergeCell ref="X10:X12"/>
    <mergeCell ref="AB9:AB10"/>
    <mergeCell ref="AD9:AD11"/>
    <mergeCell ref="AA10:AA12"/>
    <mergeCell ref="AK10:AK12"/>
    <mergeCell ref="AG9:AG11"/>
    <mergeCell ref="AH9:AH11"/>
    <mergeCell ref="AE9:AE11"/>
    <mergeCell ref="AF9:AF11"/>
    <mergeCell ref="AI10:AI11"/>
    <mergeCell ref="AJ10:AJ11"/>
    <mergeCell ref="AL10:AL12"/>
    <mergeCell ref="AM10:AM12"/>
    <mergeCell ref="AN10:AN12"/>
    <mergeCell ref="AO10:AO12"/>
    <mergeCell ref="A11:A12"/>
    <mergeCell ref="O11:O12"/>
    <mergeCell ref="AC11:AC12"/>
    <mergeCell ref="B13:B15"/>
    <mergeCell ref="C13:C15"/>
    <mergeCell ref="D13:D15"/>
    <mergeCell ref="F13:F15"/>
    <mergeCell ref="N13:N14"/>
    <mergeCell ref="P13:P15"/>
    <mergeCell ref="Y10:Y12"/>
    <mergeCell ref="AP13:AP14"/>
    <mergeCell ref="I14:I16"/>
    <mergeCell ref="J14:J16"/>
    <mergeCell ref="K14:K16"/>
    <mergeCell ref="L14:L16"/>
    <mergeCell ref="M14:M16"/>
    <mergeCell ref="W14:W16"/>
    <mergeCell ref="X14:X16"/>
    <mergeCell ref="AB13:AB14"/>
    <mergeCell ref="AD13:AD15"/>
    <mergeCell ref="AM14:AM16"/>
    <mergeCell ref="AN14:AN16"/>
    <mergeCell ref="AO14:AO16"/>
    <mergeCell ref="Y14:Y16"/>
    <mergeCell ref="Z14:Z16"/>
    <mergeCell ref="AA14:AA16"/>
    <mergeCell ref="AK14:AK16"/>
    <mergeCell ref="AF13:AF15"/>
    <mergeCell ref="AH13:AH15"/>
    <mergeCell ref="AE13:AE15"/>
    <mergeCell ref="AL14:AL16"/>
    <mergeCell ref="Q13:Q15"/>
    <mergeCell ref="R13:R15"/>
    <mergeCell ref="T13:T15"/>
    <mergeCell ref="AI14:AI15"/>
    <mergeCell ref="AJ14:AJ15"/>
    <mergeCell ref="U14:U15"/>
    <mergeCell ref="V14:V15"/>
    <mergeCell ref="E13:E15"/>
    <mergeCell ref="AG13:AG15"/>
    <mergeCell ref="A15:A16"/>
    <mergeCell ref="O15:O16"/>
    <mergeCell ref="AC15:AC16"/>
    <mergeCell ref="G14:G15"/>
    <mergeCell ref="S20:S22"/>
    <mergeCell ref="AG20:AG22"/>
    <mergeCell ref="AP20:AP21"/>
    <mergeCell ref="G21:G22"/>
    <mergeCell ref="U21:U22"/>
    <mergeCell ref="AB20:AB21"/>
    <mergeCell ref="AH20:AH22"/>
    <mergeCell ref="AE20:AE22"/>
    <mergeCell ref="AF20:AF22"/>
    <mergeCell ref="V21:V22"/>
    <mergeCell ref="B20:B22"/>
    <mergeCell ref="E20:E22"/>
    <mergeCell ref="N20:N21"/>
    <mergeCell ref="P20:P22"/>
    <mergeCell ref="D20:D22"/>
    <mergeCell ref="F20:F22"/>
    <mergeCell ref="AD20:AD22"/>
    <mergeCell ref="W21:W23"/>
    <mergeCell ref="AJ21:AJ22"/>
    <mergeCell ref="AN21:AN23"/>
    <mergeCell ref="AO21:AO23"/>
    <mergeCell ref="AI21:AI22"/>
    <mergeCell ref="AK21:AK23"/>
    <mergeCell ref="AL21:AL23"/>
    <mergeCell ref="AM21:AM23"/>
    <mergeCell ref="Q20:Q22"/>
    <mergeCell ref="H21:H22"/>
    <mergeCell ref="M21:M23"/>
    <mergeCell ref="I21:I23"/>
    <mergeCell ref="J21:J23"/>
    <mergeCell ref="K21:K23"/>
    <mergeCell ref="L21:L23"/>
    <mergeCell ref="A22:A23"/>
    <mergeCell ref="O22:O23"/>
    <mergeCell ref="AC22:AC23"/>
    <mergeCell ref="R20:R22"/>
    <mergeCell ref="T20:T22"/>
    <mergeCell ref="X21:X23"/>
    <mergeCell ref="Y21:Y23"/>
    <mergeCell ref="Z21:Z23"/>
    <mergeCell ref="AA21:AA23"/>
    <mergeCell ref="C20:C22"/>
    <mergeCell ref="AR20:AR22"/>
    <mergeCell ref="AR1:AR3"/>
    <mergeCell ref="AR5:AR7"/>
    <mergeCell ref="AR9:AR11"/>
    <mergeCell ref="AR13:AR15"/>
  </mergeCells>
  <printOptions horizontalCentered="1" verticalCentered="1"/>
  <pageMargins left="0.1968503937007874" right="0.5905511811023623" top="0.1968503937007874" bottom="0.1968503937007874" header="0" footer="0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91"/>
  <sheetViews>
    <sheetView workbookViewId="0" topLeftCell="A1">
      <pane ySplit="9" topLeftCell="BM10" activePane="bottomLeft" state="frozen"/>
      <selection pane="topLeft" activeCell="A1" sqref="A1"/>
      <selection pane="bottomLeft" activeCell="I29" sqref="I29"/>
    </sheetView>
  </sheetViews>
  <sheetFormatPr defaultColWidth="11.421875" defaultRowHeight="12.75"/>
  <cols>
    <col min="1" max="1" width="6.7109375" style="30" customWidth="1"/>
    <col min="2" max="2" width="6.8515625" style="59" customWidth="1"/>
    <col min="3" max="3" width="13.421875" style="59" customWidth="1"/>
    <col min="4" max="4" width="3.00390625" style="61" customWidth="1"/>
    <col min="5" max="5" width="11.57421875" style="60" customWidth="1"/>
    <col min="6" max="6" width="12.7109375" style="60" customWidth="1"/>
    <col min="7" max="7" width="12.00390625" style="60" customWidth="1"/>
    <col min="8" max="8" width="10.00390625" style="61" customWidth="1"/>
    <col min="9" max="9" width="10.28125" style="61" customWidth="1"/>
    <col min="10" max="10" width="8.140625" style="61" customWidth="1"/>
    <col min="11" max="11" width="10.28125" style="60" customWidth="1"/>
    <col min="12" max="12" width="13.00390625" style="60" customWidth="1"/>
    <col min="13" max="13" width="11.140625" style="60" customWidth="1"/>
    <col min="14" max="14" width="9.7109375" style="61" customWidth="1"/>
    <col min="15" max="15" width="9.421875" style="61" customWidth="1"/>
    <col min="16" max="16" width="8.8515625" style="61" customWidth="1"/>
    <col min="17" max="17" width="8.7109375" style="0" customWidth="1"/>
    <col min="18" max="18" width="7.8515625" style="0" customWidth="1"/>
    <col min="19" max="19" width="7.421875" style="0" customWidth="1"/>
    <col min="20" max="20" width="18.28125" style="0" customWidth="1"/>
    <col min="22" max="22" width="7.140625" style="0" customWidth="1"/>
    <col min="23" max="23" width="5.140625" style="0" customWidth="1"/>
    <col min="25" max="25" width="7.421875" style="0" customWidth="1"/>
  </cols>
  <sheetData>
    <row r="1" spans="1:32" s="65" customFormat="1" ht="15.75">
      <c r="A1" s="73">
        <v>1</v>
      </c>
      <c r="B1" s="73">
        <v>2</v>
      </c>
      <c r="C1" s="73">
        <v>3</v>
      </c>
      <c r="D1" s="64"/>
      <c r="E1" s="64"/>
      <c r="F1" s="176" t="s">
        <v>128</v>
      </c>
      <c r="G1" s="146" t="s">
        <v>135</v>
      </c>
      <c r="I1" s="64"/>
      <c r="J1" s="66"/>
      <c r="L1" s="64"/>
      <c r="M1" s="64"/>
      <c r="N1" s="64"/>
      <c r="O1" s="64"/>
      <c r="P1" s="67"/>
      <c r="Q1" s="68"/>
      <c r="R1" s="69"/>
      <c r="S1" s="70"/>
      <c r="T1" s="71"/>
      <c r="U1" s="70"/>
      <c r="W1" s="72"/>
      <c r="X1" s="72"/>
      <c r="Z1" s="69"/>
      <c r="AA1" s="70"/>
      <c r="AB1" s="71"/>
      <c r="AC1" s="70"/>
      <c r="AE1" s="72"/>
      <c r="AF1" s="72"/>
    </row>
    <row r="2" spans="1:32" s="65" customFormat="1" ht="15">
      <c r="A2" s="73">
        <v>4</v>
      </c>
      <c r="B2" s="73">
        <v>5</v>
      </c>
      <c r="C2" s="73"/>
      <c r="D2" s="66"/>
      <c r="E2" s="64"/>
      <c r="F2" s="177" t="s">
        <v>127</v>
      </c>
      <c r="G2" s="175" t="s">
        <v>134</v>
      </c>
      <c r="J2" s="98"/>
      <c r="K2" s="99"/>
      <c r="L2" s="95"/>
      <c r="M2" s="95"/>
      <c r="N2" s="95"/>
      <c r="O2" s="64"/>
      <c r="P2" s="67"/>
      <c r="Q2" s="68"/>
      <c r="R2" s="69"/>
      <c r="S2" s="70"/>
      <c r="T2" s="71"/>
      <c r="U2" s="70"/>
      <c r="W2" s="72"/>
      <c r="X2" s="72"/>
      <c r="Z2" s="69"/>
      <c r="AA2" s="70"/>
      <c r="AB2" s="71"/>
      <c r="AC2" s="70"/>
      <c r="AE2" s="72"/>
      <c r="AF2" s="72"/>
    </row>
    <row r="3" spans="1:32" s="65" customFormat="1" ht="15">
      <c r="A3" s="73"/>
      <c r="B3" s="73"/>
      <c r="C3" s="73"/>
      <c r="D3" s="64"/>
      <c r="F3" s="178" t="s">
        <v>126</v>
      </c>
      <c r="G3" s="175" t="s">
        <v>133</v>
      </c>
      <c r="J3" s="96"/>
      <c r="K3" s="95"/>
      <c r="L3" s="95"/>
      <c r="M3" s="95"/>
      <c r="N3" s="95"/>
      <c r="O3" s="64"/>
      <c r="P3" s="67"/>
      <c r="Q3" s="68"/>
      <c r="R3" s="69"/>
      <c r="S3" s="70"/>
      <c r="T3" s="71"/>
      <c r="U3" s="70"/>
      <c r="W3" s="72"/>
      <c r="X3" s="72"/>
      <c r="Z3" s="69"/>
      <c r="AA3" s="70"/>
      <c r="AB3" s="71"/>
      <c r="AC3" s="70"/>
      <c r="AE3" s="72"/>
      <c r="AF3" s="72"/>
    </row>
    <row r="4" spans="1:32" s="65" customFormat="1" ht="15">
      <c r="A4" s="73"/>
      <c r="B4" s="73"/>
      <c r="C4" s="73"/>
      <c r="D4" s="95"/>
      <c r="E4" s="64"/>
      <c r="F4" s="179" t="s">
        <v>129</v>
      </c>
      <c r="G4" s="175" t="s">
        <v>132</v>
      </c>
      <c r="J4" s="96"/>
      <c r="K4" s="95"/>
      <c r="L4" s="95"/>
      <c r="M4" s="95"/>
      <c r="N4" s="95"/>
      <c r="O4" s="64"/>
      <c r="P4" s="67"/>
      <c r="Q4" s="68"/>
      <c r="R4" s="69"/>
      <c r="S4" s="70"/>
      <c r="T4" s="71"/>
      <c r="U4" s="70"/>
      <c r="W4" s="72"/>
      <c r="X4" s="72"/>
      <c r="Z4" s="69"/>
      <c r="AA4" s="70"/>
      <c r="AB4" s="71"/>
      <c r="AC4" s="70"/>
      <c r="AE4" s="72"/>
      <c r="AF4" s="72"/>
    </row>
    <row r="5" spans="1:32" s="65" customFormat="1" ht="15">
      <c r="A5" s="97"/>
      <c r="B5" s="97"/>
      <c r="C5" s="97"/>
      <c r="D5" s="95"/>
      <c r="E5" s="64"/>
      <c r="F5" s="180" t="s">
        <v>125</v>
      </c>
      <c r="G5" s="175" t="s">
        <v>131</v>
      </c>
      <c r="I5" s="95"/>
      <c r="J5" s="96"/>
      <c r="K5" s="95"/>
      <c r="L5" s="95"/>
      <c r="M5" s="95"/>
      <c r="N5" s="95"/>
      <c r="O5" s="64"/>
      <c r="P5" s="67"/>
      <c r="Q5" s="68"/>
      <c r="R5" s="69"/>
      <c r="S5" s="70"/>
      <c r="T5" s="71"/>
      <c r="U5" s="70"/>
      <c r="W5" s="72"/>
      <c r="X5" s="72"/>
      <c r="Z5" s="69"/>
      <c r="AA5" s="70"/>
      <c r="AB5" s="71"/>
      <c r="AC5" s="70"/>
      <c r="AE5" s="72"/>
      <c r="AF5" s="72"/>
    </row>
    <row r="6" spans="1:32" s="65" customFormat="1" ht="15.75">
      <c r="A6" s="97"/>
      <c r="B6" s="91"/>
      <c r="C6" s="90"/>
      <c r="D6" s="95"/>
      <c r="E6" s="64"/>
      <c r="F6" s="181" t="s">
        <v>124</v>
      </c>
      <c r="G6" s="175" t="s">
        <v>130</v>
      </c>
      <c r="I6" s="95"/>
      <c r="J6" s="96"/>
      <c r="K6" s="95"/>
      <c r="L6" s="95"/>
      <c r="M6" s="95"/>
      <c r="N6" s="95"/>
      <c r="O6" s="64"/>
      <c r="P6" s="67"/>
      <c r="Q6" s="68"/>
      <c r="R6" s="69"/>
      <c r="S6" s="70"/>
      <c r="T6" s="71"/>
      <c r="U6" s="70"/>
      <c r="W6" s="72"/>
      <c r="X6" s="72"/>
      <c r="Z6" s="69"/>
      <c r="AA6" s="70"/>
      <c r="AB6" s="71"/>
      <c r="AC6" s="70"/>
      <c r="AE6" s="72"/>
      <c r="AF6" s="72"/>
    </row>
    <row r="7" spans="1:32" s="65" customFormat="1" ht="15" customHeight="1">
      <c r="A7" s="167"/>
      <c r="B7" s="97"/>
      <c r="C7" s="97"/>
      <c r="D7" s="66"/>
      <c r="E7" s="64"/>
      <c r="F7" s="95"/>
      <c r="G7" s="95"/>
      <c r="I7" s="95"/>
      <c r="J7" s="96"/>
      <c r="K7" s="95"/>
      <c r="L7" s="95"/>
      <c r="M7" s="95"/>
      <c r="N7" s="95"/>
      <c r="O7" s="64"/>
      <c r="P7" s="67"/>
      <c r="Q7" s="68"/>
      <c r="R7" s="69"/>
      <c r="S7" s="70"/>
      <c r="T7" s="71"/>
      <c r="U7" s="70"/>
      <c r="W7" s="72"/>
      <c r="X7" s="72"/>
      <c r="Z7" s="69"/>
      <c r="AA7" s="70"/>
      <c r="AB7" s="71"/>
      <c r="AC7" s="70"/>
      <c r="AE7" s="72"/>
      <c r="AF7" s="72"/>
    </row>
    <row r="8" spans="1:15" s="65" customFormat="1" ht="36.75" customHeight="1" thickBot="1">
      <c r="A8" s="63"/>
      <c r="B8" s="64"/>
      <c r="C8" s="64" t="s">
        <v>20</v>
      </c>
      <c r="D8" s="64"/>
      <c r="F8" s="92"/>
      <c r="G8" s="92"/>
      <c r="H8" s="92"/>
      <c r="I8" s="166" t="s">
        <v>117</v>
      </c>
      <c r="J8" s="92"/>
      <c r="K8" s="92"/>
      <c r="L8" s="92"/>
      <c r="M8" s="92"/>
      <c r="N8" s="92"/>
      <c r="O8" s="166" t="s">
        <v>118</v>
      </c>
    </row>
    <row r="9" spans="1:25" s="25" customFormat="1" ht="27" customHeight="1">
      <c r="A9" s="21" t="s">
        <v>17</v>
      </c>
      <c r="B9" s="22" t="s">
        <v>4</v>
      </c>
      <c r="C9" s="22" t="s">
        <v>93</v>
      </c>
      <c r="D9" s="121" t="s">
        <v>5</v>
      </c>
      <c r="E9" s="24" t="s">
        <v>8</v>
      </c>
      <c r="F9" s="24" t="s">
        <v>11</v>
      </c>
      <c r="G9" s="24" t="s">
        <v>7</v>
      </c>
      <c r="H9" s="23" t="s">
        <v>8</v>
      </c>
      <c r="I9" s="121" t="s">
        <v>6</v>
      </c>
      <c r="J9" s="121" t="s">
        <v>7</v>
      </c>
      <c r="K9" s="24" t="s">
        <v>8</v>
      </c>
      <c r="L9" s="24" t="s">
        <v>9</v>
      </c>
      <c r="M9" s="24" t="s">
        <v>7</v>
      </c>
      <c r="N9" s="23" t="s">
        <v>8</v>
      </c>
      <c r="O9" s="23" t="s">
        <v>10</v>
      </c>
      <c r="P9" s="23" t="s">
        <v>7</v>
      </c>
      <c r="Q9" s="122" t="s">
        <v>93</v>
      </c>
      <c r="R9" s="122" t="s">
        <v>94</v>
      </c>
      <c r="S9" s="123" t="s">
        <v>4</v>
      </c>
      <c r="T9" s="124" t="s">
        <v>112</v>
      </c>
      <c r="U9" s="125" t="s">
        <v>38</v>
      </c>
      <c r="V9" s="126" t="s">
        <v>109</v>
      </c>
      <c r="W9" s="127" t="s">
        <v>110</v>
      </c>
      <c r="X9" s="122" t="s">
        <v>95</v>
      </c>
      <c r="Y9" s="122" t="s">
        <v>96</v>
      </c>
    </row>
    <row r="10" spans="1:25" s="6" customFormat="1" ht="12.75">
      <c r="A10" s="26">
        <v>1</v>
      </c>
      <c r="B10" s="59" t="str">
        <f>S10</f>
        <v>RP</v>
      </c>
      <c r="C10" s="26" t="str">
        <f>Q10&amp;" "&amp;R10</f>
        <v>ACWX 098718</v>
      </c>
      <c r="D10" s="27" t="s">
        <v>23</v>
      </c>
      <c r="E10" s="28"/>
      <c r="F10" s="28"/>
      <c r="G10" s="28"/>
      <c r="H10" s="27"/>
      <c r="I10" s="27" t="s">
        <v>119</v>
      </c>
      <c r="J10" s="27" t="s">
        <v>85</v>
      </c>
      <c r="K10" s="28"/>
      <c r="L10" s="28"/>
      <c r="M10" s="28"/>
      <c r="N10" s="27"/>
      <c r="O10" s="27" t="s">
        <v>120</v>
      </c>
      <c r="P10" s="27" t="s">
        <v>87</v>
      </c>
      <c r="Q10" s="6" t="s">
        <v>107</v>
      </c>
      <c r="R10" s="128" t="s">
        <v>108</v>
      </c>
      <c r="S10" s="5" t="s">
        <v>16</v>
      </c>
      <c r="T10" s="129" t="s">
        <v>103</v>
      </c>
      <c r="U10" s="130" t="s">
        <v>102</v>
      </c>
      <c r="V10" s="5">
        <v>40</v>
      </c>
      <c r="W10" s="5"/>
      <c r="X10" s="130" t="s">
        <v>98</v>
      </c>
      <c r="Y10" s="129"/>
    </row>
    <row r="11" spans="1:25" s="25" customFormat="1" ht="12.75">
      <c r="A11" s="29">
        <v>2</v>
      </c>
      <c r="B11" s="59" t="str">
        <f>S11</f>
        <v>LOG</v>
      </c>
      <c r="C11" s="26" t="str">
        <f>Q11&amp;" "&amp;R11</f>
        <v>ALNX 396282</v>
      </c>
      <c r="D11" s="27"/>
      <c r="E11" s="28"/>
      <c r="F11" s="28"/>
      <c r="G11" s="28"/>
      <c r="H11" s="27"/>
      <c r="I11" s="27">
        <f>D11</f>
        <v>0</v>
      </c>
      <c r="J11" s="27"/>
      <c r="K11" s="28"/>
      <c r="L11" s="28"/>
      <c r="M11" s="28"/>
      <c r="N11" s="27"/>
      <c r="O11" s="27"/>
      <c r="P11" s="27"/>
      <c r="Q11" s="6" t="s">
        <v>104</v>
      </c>
      <c r="R11" s="129">
        <v>396282</v>
      </c>
      <c r="S11" s="5" t="s">
        <v>29</v>
      </c>
      <c r="T11" s="129" t="s">
        <v>100</v>
      </c>
      <c r="U11" s="130" t="s">
        <v>99</v>
      </c>
      <c r="V11" s="5">
        <v>54</v>
      </c>
      <c r="W11" s="5">
        <v>130</v>
      </c>
      <c r="X11" s="130" t="s">
        <v>101</v>
      </c>
      <c r="Y11" s="129" t="s">
        <v>105</v>
      </c>
    </row>
    <row r="12" spans="1:25" s="6" customFormat="1" ht="12.75">
      <c r="A12" s="26">
        <v>3</v>
      </c>
      <c r="B12" s="59" t="str">
        <f>S12</f>
        <v>XM</v>
      </c>
      <c r="C12" s="26" t="str">
        <f>Q12&amp;" "&amp;R12</f>
        <v>AMC 1031</v>
      </c>
      <c r="D12" s="27" t="s">
        <v>23</v>
      </c>
      <c r="E12" s="28" t="s">
        <v>113</v>
      </c>
      <c r="F12" s="28" t="s">
        <v>24</v>
      </c>
      <c r="G12" s="28" t="s">
        <v>64</v>
      </c>
      <c r="H12" s="27" t="s">
        <v>86</v>
      </c>
      <c r="I12" s="27" t="str">
        <f>D12</f>
        <v>Int. Falls</v>
      </c>
      <c r="J12" s="27" t="s">
        <v>85</v>
      </c>
      <c r="K12" s="28" t="s">
        <v>114</v>
      </c>
      <c r="L12" s="28" t="s">
        <v>44</v>
      </c>
      <c r="M12" s="28" t="s">
        <v>48</v>
      </c>
      <c r="N12" s="27" t="s">
        <v>86</v>
      </c>
      <c r="O12" s="27" t="s">
        <v>25</v>
      </c>
      <c r="P12" s="27" t="s">
        <v>87</v>
      </c>
      <c r="Q12" s="163" t="s">
        <v>111</v>
      </c>
      <c r="R12" s="133">
        <v>1031</v>
      </c>
      <c r="S12" s="100" t="s">
        <v>3</v>
      </c>
      <c r="T12" s="134"/>
      <c r="U12" s="135" t="s">
        <v>97</v>
      </c>
      <c r="V12" s="100">
        <v>50</v>
      </c>
      <c r="W12" s="100">
        <v>130</v>
      </c>
      <c r="X12" s="135"/>
      <c r="Y12" s="133"/>
    </row>
    <row r="13" spans="1:25" s="25" customFormat="1" ht="12.75">
      <c r="A13" s="29">
        <v>4</v>
      </c>
      <c r="B13" s="59"/>
      <c r="C13" s="26"/>
      <c r="D13" s="27"/>
      <c r="E13" s="28"/>
      <c r="F13" s="28"/>
      <c r="G13" s="28"/>
      <c r="H13" s="27"/>
      <c r="I13" s="27"/>
      <c r="J13" s="27"/>
      <c r="K13" s="28"/>
      <c r="L13" s="28"/>
      <c r="M13" s="28"/>
      <c r="N13" s="27"/>
      <c r="O13" s="27"/>
      <c r="P13" s="27"/>
      <c r="Q13" s="6"/>
      <c r="R13" s="129"/>
      <c r="S13" s="5"/>
      <c r="T13" s="129"/>
      <c r="U13" s="130"/>
      <c r="V13" s="5"/>
      <c r="W13" s="5"/>
      <c r="X13" s="130"/>
      <c r="Y13" s="129"/>
    </row>
    <row r="14" spans="1:25" s="6" customFormat="1" ht="12.75">
      <c r="A14" s="26">
        <v>5</v>
      </c>
      <c r="B14" s="59"/>
      <c r="C14" s="26"/>
      <c r="D14" s="27"/>
      <c r="E14" s="28"/>
      <c r="F14" s="28"/>
      <c r="G14" s="28"/>
      <c r="H14" s="27"/>
      <c r="I14" s="27"/>
      <c r="J14" s="27"/>
      <c r="K14" s="28"/>
      <c r="L14" s="28"/>
      <c r="M14" s="28"/>
      <c r="N14" s="27"/>
      <c r="O14" s="27"/>
      <c r="P14" s="27"/>
      <c r="Q14" s="139"/>
      <c r="R14" s="133"/>
      <c r="S14" s="100"/>
      <c r="T14" s="133"/>
      <c r="U14" s="135"/>
      <c r="V14" s="100"/>
      <c r="W14" s="100"/>
      <c r="X14" s="135"/>
      <c r="Y14" s="133"/>
    </row>
    <row r="15" spans="1:25" s="6" customFormat="1" ht="12.75">
      <c r="A15" s="26">
        <v>6</v>
      </c>
      <c r="B15" s="59"/>
      <c r="C15" s="26"/>
      <c r="D15" s="27"/>
      <c r="E15" s="28"/>
      <c r="F15" s="28"/>
      <c r="G15" s="28"/>
      <c r="H15" s="27"/>
      <c r="I15" s="27"/>
      <c r="J15" s="27"/>
      <c r="K15" s="28"/>
      <c r="L15" s="28"/>
      <c r="M15" s="28"/>
      <c r="N15" s="27"/>
      <c r="O15" s="27"/>
      <c r="P15" s="27"/>
      <c r="Q15" s="139"/>
      <c r="R15" s="133"/>
      <c r="S15" s="100"/>
      <c r="T15" s="133"/>
      <c r="U15" s="135"/>
      <c r="V15" s="100"/>
      <c r="W15" s="100"/>
      <c r="X15" s="135"/>
      <c r="Y15" s="133"/>
    </row>
    <row r="16" spans="1:25" s="6" customFormat="1" ht="12.75">
      <c r="A16" s="26">
        <v>7</v>
      </c>
      <c r="B16" s="59"/>
      <c r="C16" s="26"/>
      <c r="D16" s="27"/>
      <c r="E16" s="28"/>
      <c r="F16" s="28"/>
      <c r="G16" s="28"/>
      <c r="H16" s="27"/>
      <c r="I16" s="27"/>
      <c r="J16" s="27"/>
      <c r="K16" s="28"/>
      <c r="L16" s="28"/>
      <c r="M16" s="28"/>
      <c r="N16" s="27"/>
      <c r="O16" s="27"/>
      <c r="P16" s="27"/>
      <c r="Q16" s="139"/>
      <c r="R16" s="133"/>
      <c r="S16" s="100"/>
      <c r="T16" s="133"/>
      <c r="U16" s="135"/>
      <c r="V16" s="100"/>
      <c r="W16" s="100"/>
      <c r="X16" s="135"/>
      <c r="Y16" s="133"/>
    </row>
    <row r="17" spans="1:25" s="6" customFormat="1" ht="12.75">
      <c r="A17" s="26">
        <v>8</v>
      </c>
      <c r="B17" s="59"/>
      <c r="C17" s="26"/>
      <c r="D17" s="27"/>
      <c r="E17" s="28"/>
      <c r="F17" s="28"/>
      <c r="G17" s="28"/>
      <c r="H17" s="27"/>
      <c r="I17" s="27"/>
      <c r="J17" s="27"/>
      <c r="K17" s="28"/>
      <c r="L17" s="28"/>
      <c r="M17" s="28"/>
      <c r="N17" s="27"/>
      <c r="O17" s="27"/>
      <c r="P17" s="27"/>
      <c r="Q17" s="163"/>
      <c r="R17" s="133"/>
      <c r="S17" s="100"/>
      <c r="T17" s="133"/>
      <c r="U17" s="135"/>
      <c r="V17" s="100"/>
      <c r="W17" s="100"/>
      <c r="X17" s="135"/>
      <c r="Y17" s="133"/>
    </row>
    <row r="18" spans="1:25" s="6" customFormat="1" ht="12.75">
      <c r="A18" s="26">
        <v>9</v>
      </c>
      <c r="B18" s="59"/>
      <c r="C18" s="26"/>
      <c r="D18" s="27"/>
      <c r="E18" s="28"/>
      <c r="F18" s="28"/>
      <c r="G18" s="28"/>
      <c r="H18" s="27"/>
      <c r="I18" s="27"/>
      <c r="J18" s="27"/>
      <c r="K18" s="28"/>
      <c r="L18" s="28"/>
      <c r="M18" s="28"/>
      <c r="N18" s="27"/>
      <c r="O18" s="27"/>
      <c r="P18" s="27"/>
      <c r="Q18" s="163"/>
      <c r="R18" s="133"/>
      <c r="S18" s="100"/>
      <c r="T18" s="133"/>
      <c r="U18" s="135"/>
      <c r="V18" s="100"/>
      <c r="W18" s="100"/>
      <c r="X18" s="135"/>
      <c r="Y18" s="133"/>
    </row>
    <row r="19" spans="1:25" s="6" customFormat="1" ht="12.75">
      <c r="A19" s="26">
        <v>10</v>
      </c>
      <c r="B19" s="59"/>
      <c r="C19" s="26"/>
      <c r="D19" s="27"/>
      <c r="E19" s="28"/>
      <c r="F19" s="28"/>
      <c r="G19" s="28"/>
      <c r="H19" s="27"/>
      <c r="I19" s="27"/>
      <c r="J19" s="27"/>
      <c r="K19" s="28"/>
      <c r="L19" s="28"/>
      <c r="M19" s="28"/>
      <c r="N19" s="27"/>
      <c r="O19" s="27"/>
      <c r="P19" s="27"/>
      <c r="Q19" s="163"/>
      <c r="R19" s="133"/>
      <c r="S19" s="100"/>
      <c r="T19" s="133"/>
      <c r="U19" s="135"/>
      <c r="V19" s="100"/>
      <c r="W19" s="100"/>
      <c r="X19" s="135"/>
      <c r="Y19" s="133"/>
    </row>
    <row r="20" spans="1:25" s="6" customFormat="1" ht="12.75">
      <c r="A20" s="26">
        <v>11</v>
      </c>
      <c r="B20" s="59"/>
      <c r="C20" s="26"/>
      <c r="D20" s="27"/>
      <c r="E20" s="60"/>
      <c r="F20" s="60"/>
      <c r="G20" s="60"/>
      <c r="H20" s="61"/>
      <c r="I20" s="27"/>
      <c r="J20" s="27"/>
      <c r="K20" s="60"/>
      <c r="L20" s="60"/>
      <c r="M20" s="60"/>
      <c r="N20" s="61"/>
      <c r="O20" s="162"/>
      <c r="P20" s="161"/>
      <c r="Q20" s="163"/>
      <c r="R20" s="133"/>
      <c r="S20" s="100"/>
      <c r="T20" s="133"/>
      <c r="U20" s="135"/>
      <c r="V20" s="100"/>
      <c r="W20" s="100"/>
      <c r="X20" s="135"/>
      <c r="Y20" s="133"/>
    </row>
    <row r="21" spans="1:25" s="6" customFormat="1" ht="12.75">
      <c r="A21" s="26">
        <v>12</v>
      </c>
      <c r="B21" s="59"/>
      <c r="C21" s="26"/>
      <c r="D21" s="27"/>
      <c r="E21" s="60"/>
      <c r="F21" s="60"/>
      <c r="G21" s="60"/>
      <c r="H21" s="61"/>
      <c r="I21" s="27"/>
      <c r="J21" s="27"/>
      <c r="K21" s="60"/>
      <c r="L21" s="60"/>
      <c r="M21" s="60"/>
      <c r="N21" s="61"/>
      <c r="O21" s="162"/>
      <c r="P21" s="161"/>
      <c r="Q21" s="163"/>
      <c r="R21" s="133"/>
      <c r="S21" s="100"/>
      <c r="T21" s="133"/>
      <c r="U21" s="135"/>
      <c r="V21" s="100"/>
      <c r="W21" s="100"/>
      <c r="X21" s="135"/>
      <c r="Y21" s="133"/>
    </row>
    <row r="22" spans="1:25" ht="12.75">
      <c r="A22" s="26">
        <v>13</v>
      </c>
      <c r="C22" s="26"/>
      <c r="D22" s="27"/>
      <c r="E22" s="28"/>
      <c r="F22" s="28"/>
      <c r="G22" s="28"/>
      <c r="H22" s="27"/>
      <c r="I22" s="27"/>
      <c r="J22" s="27"/>
      <c r="K22" s="28"/>
      <c r="L22" s="28"/>
      <c r="M22" s="28"/>
      <c r="N22" s="27"/>
      <c r="O22" s="27"/>
      <c r="P22" s="27"/>
      <c r="Q22" s="163"/>
      <c r="R22" s="133"/>
      <c r="S22" s="100"/>
      <c r="T22" s="133"/>
      <c r="U22" s="135"/>
      <c r="V22" s="100"/>
      <c r="W22" s="100"/>
      <c r="X22" s="135"/>
      <c r="Y22" s="133"/>
    </row>
    <row r="23" spans="1:25" ht="12.75">
      <c r="A23" s="26">
        <v>14</v>
      </c>
      <c r="C23" s="26"/>
      <c r="D23" s="27"/>
      <c r="E23" s="28"/>
      <c r="F23" s="28"/>
      <c r="G23" s="28"/>
      <c r="H23" s="27"/>
      <c r="I23" s="27"/>
      <c r="J23" s="27"/>
      <c r="K23" s="28"/>
      <c r="L23" s="28"/>
      <c r="M23" s="28"/>
      <c r="N23" s="27"/>
      <c r="O23" s="27"/>
      <c r="P23" s="27"/>
      <c r="Q23" s="164"/>
      <c r="R23" s="129"/>
      <c r="S23" s="5"/>
      <c r="T23" s="129"/>
      <c r="U23" s="130"/>
      <c r="V23" s="5"/>
      <c r="W23" s="5"/>
      <c r="X23" s="130"/>
      <c r="Y23" s="129"/>
    </row>
    <row r="24" spans="1:25" ht="12.75">
      <c r="A24" s="26">
        <v>15</v>
      </c>
      <c r="C24" s="26"/>
      <c r="D24" s="27"/>
      <c r="E24" s="28"/>
      <c r="F24" s="28"/>
      <c r="G24" s="28"/>
      <c r="H24" s="27"/>
      <c r="I24" s="27"/>
      <c r="O24" s="27"/>
      <c r="P24" s="27"/>
      <c r="Q24" s="139"/>
      <c r="R24" s="133"/>
      <c r="S24" s="100"/>
      <c r="T24" s="133"/>
      <c r="U24" s="135"/>
      <c r="V24" s="100"/>
      <c r="W24" s="100"/>
      <c r="X24" s="135"/>
      <c r="Y24" s="133"/>
    </row>
    <row r="25" spans="1:25" ht="12.75">
      <c r="A25" s="26">
        <v>16</v>
      </c>
      <c r="C25" s="26"/>
      <c r="D25" s="27"/>
      <c r="E25" s="28"/>
      <c r="F25" s="28"/>
      <c r="G25" s="28"/>
      <c r="H25" s="27"/>
      <c r="I25" s="27"/>
      <c r="O25" s="27"/>
      <c r="P25" s="27"/>
      <c r="Q25" s="139"/>
      <c r="R25" s="133"/>
      <c r="S25" s="100"/>
      <c r="T25" s="133"/>
      <c r="U25" s="135"/>
      <c r="V25" s="100"/>
      <c r="W25" s="100"/>
      <c r="X25" s="135"/>
      <c r="Y25" s="133"/>
    </row>
    <row r="26" spans="1:25" ht="12.75">
      <c r="A26" s="26">
        <v>17</v>
      </c>
      <c r="C26" s="26"/>
      <c r="I26" s="27"/>
      <c r="O26" s="27"/>
      <c r="P26" s="27"/>
      <c r="Q26" s="6"/>
      <c r="R26" s="129"/>
      <c r="S26" s="5"/>
      <c r="T26" s="129"/>
      <c r="U26" s="130"/>
      <c r="V26" s="5"/>
      <c r="W26" s="5"/>
      <c r="X26" s="130"/>
      <c r="Y26" s="129"/>
    </row>
    <row r="27" spans="1:25" ht="12.75">
      <c r="A27" s="26">
        <v>18</v>
      </c>
      <c r="C27" s="26"/>
      <c r="D27" s="27"/>
      <c r="E27" s="28"/>
      <c r="F27" s="28"/>
      <c r="G27" s="28"/>
      <c r="H27" s="27"/>
      <c r="I27" s="27"/>
      <c r="O27" s="27"/>
      <c r="P27" s="27"/>
      <c r="Q27" s="6"/>
      <c r="R27" s="129"/>
      <c r="S27" s="5"/>
      <c r="T27" s="129"/>
      <c r="U27" s="130"/>
      <c r="V27" s="5"/>
      <c r="W27" s="5"/>
      <c r="X27" s="130"/>
      <c r="Y27" s="129"/>
    </row>
    <row r="28" spans="1:25" ht="12.75">
      <c r="A28" s="26">
        <v>19</v>
      </c>
      <c r="C28" s="26"/>
      <c r="D28" s="27"/>
      <c r="E28" s="28"/>
      <c r="F28" s="28"/>
      <c r="G28" s="28"/>
      <c r="H28" s="27"/>
      <c r="I28" s="27"/>
      <c r="O28" s="27"/>
      <c r="P28" s="27"/>
      <c r="Q28" s="6"/>
      <c r="R28" s="129"/>
      <c r="S28" s="5"/>
      <c r="T28" s="129"/>
      <c r="U28" s="130"/>
      <c r="V28" s="5"/>
      <c r="W28" s="5"/>
      <c r="X28" s="130"/>
      <c r="Y28" s="129"/>
    </row>
    <row r="29" spans="1:25" ht="12.75">
      <c r="A29" s="26">
        <v>20</v>
      </c>
      <c r="C29" s="26"/>
      <c r="I29" s="27"/>
      <c r="O29" s="27"/>
      <c r="P29" s="27"/>
      <c r="Q29" s="140"/>
      <c r="R29" s="129"/>
      <c r="S29" s="5"/>
      <c r="T29" s="129"/>
      <c r="U29" s="130"/>
      <c r="V29" s="5"/>
      <c r="W29" s="5"/>
      <c r="X29" s="130"/>
      <c r="Y29" s="129"/>
    </row>
    <row r="30" spans="1:25" ht="12.75">
      <c r="A30" s="26">
        <v>21</v>
      </c>
      <c r="C30" s="26"/>
      <c r="I30" s="27"/>
      <c r="O30" s="27"/>
      <c r="P30" s="27"/>
      <c r="Q30" s="164"/>
      <c r="R30" s="129"/>
      <c r="S30" s="5"/>
      <c r="T30" s="129"/>
      <c r="U30" s="130"/>
      <c r="V30" s="5"/>
      <c r="W30" s="5"/>
      <c r="X30" s="130"/>
      <c r="Y30" s="129"/>
    </row>
    <row r="31" spans="1:25" ht="12.75">
      <c r="A31" s="26">
        <v>22</v>
      </c>
      <c r="C31" s="26"/>
      <c r="I31" s="27"/>
      <c r="O31" s="27"/>
      <c r="P31" s="27"/>
      <c r="Q31" s="140"/>
      <c r="R31" s="129"/>
      <c r="S31" s="5"/>
      <c r="T31" s="129"/>
      <c r="U31" s="130"/>
      <c r="V31" s="5"/>
      <c r="W31" s="5"/>
      <c r="X31" s="130"/>
      <c r="Y31" s="129"/>
    </row>
    <row r="32" spans="1:25" ht="12.75">
      <c r="A32" s="26">
        <v>23</v>
      </c>
      <c r="C32" s="26"/>
      <c r="I32" s="27"/>
      <c r="J32" s="27"/>
      <c r="K32" s="28"/>
      <c r="L32" s="28"/>
      <c r="M32" s="28"/>
      <c r="N32" s="27"/>
      <c r="O32" s="27"/>
      <c r="P32" s="27"/>
      <c r="Q32" s="164"/>
      <c r="R32" s="129"/>
      <c r="S32" s="5"/>
      <c r="T32" s="129"/>
      <c r="U32" s="130"/>
      <c r="V32" s="5"/>
      <c r="W32" s="5"/>
      <c r="X32" s="130"/>
      <c r="Y32" s="129"/>
    </row>
    <row r="33" spans="1:25" ht="12.75">
      <c r="A33" s="26">
        <v>24</v>
      </c>
      <c r="C33" s="26"/>
      <c r="I33" s="27"/>
      <c r="O33" s="27"/>
      <c r="P33" s="27"/>
      <c r="Q33" s="140"/>
      <c r="R33" s="129"/>
      <c r="S33" s="5"/>
      <c r="T33" s="129"/>
      <c r="U33" s="130"/>
      <c r="V33" s="5"/>
      <c r="W33" s="5"/>
      <c r="X33" s="130"/>
      <c r="Y33" s="129"/>
    </row>
    <row r="34" spans="1:25" ht="12.75">
      <c r="A34" s="26">
        <v>25</v>
      </c>
      <c r="C34" s="26"/>
      <c r="I34" s="27"/>
      <c r="O34" s="27"/>
      <c r="P34" s="27"/>
      <c r="Q34" s="140"/>
      <c r="R34" s="129"/>
      <c r="S34" s="5"/>
      <c r="T34" s="129"/>
      <c r="U34" s="130"/>
      <c r="V34" s="5"/>
      <c r="W34" s="5"/>
      <c r="X34" s="130"/>
      <c r="Y34" s="129"/>
    </row>
    <row r="35" spans="1:25" ht="12.75">
      <c r="A35" s="26">
        <v>26</v>
      </c>
      <c r="C35" s="26"/>
      <c r="I35" s="27"/>
      <c r="O35" s="27"/>
      <c r="P35" s="27"/>
      <c r="Q35" s="140"/>
      <c r="R35" s="129"/>
      <c r="S35" s="5"/>
      <c r="T35" s="129"/>
      <c r="U35" s="130"/>
      <c r="V35" s="5"/>
      <c r="W35" s="5"/>
      <c r="X35" s="130"/>
      <c r="Y35" s="129"/>
    </row>
    <row r="36" spans="1:25" ht="12.75">
      <c r="A36" s="26">
        <v>27</v>
      </c>
      <c r="C36" s="26"/>
      <c r="I36" s="27"/>
      <c r="O36" s="27"/>
      <c r="P36" s="27"/>
      <c r="Q36" s="6"/>
      <c r="R36" s="129"/>
      <c r="S36" s="5"/>
      <c r="T36" s="129"/>
      <c r="U36" s="130"/>
      <c r="V36" s="5"/>
      <c r="W36" s="5"/>
      <c r="X36" s="130"/>
      <c r="Y36" s="129"/>
    </row>
    <row r="37" spans="1:25" ht="12.75">
      <c r="A37" s="26">
        <v>28</v>
      </c>
      <c r="C37" s="26"/>
      <c r="I37" s="27"/>
      <c r="O37" s="27"/>
      <c r="P37" s="27"/>
      <c r="Q37" s="6"/>
      <c r="R37" s="129"/>
      <c r="S37" s="5"/>
      <c r="T37" s="129"/>
      <c r="U37" s="130"/>
      <c r="V37" s="5"/>
      <c r="W37" s="5"/>
      <c r="X37" s="130"/>
      <c r="Y37" s="129"/>
    </row>
    <row r="38" spans="1:25" ht="12.75">
      <c r="A38" s="26">
        <v>29</v>
      </c>
      <c r="C38" s="26"/>
      <c r="I38" s="27"/>
      <c r="O38" s="27"/>
      <c r="P38" s="27"/>
      <c r="Q38" s="6"/>
      <c r="R38" s="129"/>
      <c r="S38" s="5"/>
      <c r="T38" s="129"/>
      <c r="U38" s="130"/>
      <c r="V38" s="5"/>
      <c r="W38" s="5"/>
      <c r="X38" s="130"/>
      <c r="Y38" s="129"/>
    </row>
    <row r="39" spans="1:25" ht="12.75">
      <c r="A39" s="26">
        <v>30</v>
      </c>
      <c r="C39" s="26"/>
      <c r="I39" s="27"/>
      <c r="J39" s="27"/>
      <c r="K39" s="28"/>
      <c r="L39" s="28"/>
      <c r="M39" s="28"/>
      <c r="N39" s="27"/>
      <c r="O39" s="27"/>
      <c r="P39" s="27"/>
      <c r="Q39" s="6"/>
      <c r="R39" s="129"/>
      <c r="S39" s="5"/>
      <c r="T39" s="129"/>
      <c r="U39" s="130"/>
      <c r="V39" s="5"/>
      <c r="W39" s="5"/>
      <c r="X39" s="130"/>
      <c r="Y39" s="129"/>
    </row>
    <row r="40" spans="1:25" ht="12.75">
      <c r="A40" s="26">
        <v>31</v>
      </c>
      <c r="C40" s="26"/>
      <c r="I40" s="27"/>
      <c r="O40" s="27"/>
      <c r="P40" s="27"/>
      <c r="Q40" s="6"/>
      <c r="R40" s="129"/>
      <c r="S40" s="5"/>
      <c r="T40" s="129"/>
      <c r="U40" s="130"/>
      <c r="V40" s="5"/>
      <c r="W40" s="5"/>
      <c r="X40" s="130"/>
      <c r="Y40" s="129"/>
    </row>
    <row r="41" spans="1:25" ht="12.75">
      <c r="A41" s="26">
        <v>32</v>
      </c>
      <c r="C41" s="26"/>
      <c r="I41" s="27"/>
      <c r="O41" s="27"/>
      <c r="P41" s="27"/>
      <c r="Q41" s="6"/>
      <c r="R41" s="129"/>
      <c r="S41" s="5"/>
      <c r="T41" s="129"/>
      <c r="U41" s="130"/>
      <c r="V41" s="5"/>
      <c r="W41" s="5"/>
      <c r="X41" s="130"/>
      <c r="Y41" s="129"/>
    </row>
    <row r="42" spans="1:25" ht="12.75">
      <c r="A42" s="26">
        <v>33</v>
      </c>
      <c r="C42" s="26"/>
      <c r="I42" s="27"/>
      <c r="O42" s="27"/>
      <c r="P42" s="27"/>
      <c r="Q42" s="164"/>
      <c r="R42" s="129"/>
      <c r="S42" s="5"/>
      <c r="T42" s="129"/>
      <c r="U42" s="130"/>
      <c r="V42" s="5"/>
      <c r="W42" s="5"/>
      <c r="X42" s="130"/>
      <c r="Y42" s="129"/>
    </row>
    <row r="43" spans="1:25" ht="12.75">
      <c r="A43" s="26">
        <v>34</v>
      </c>
      <c r="C43" s="26"/>
      <c r="I43" s="27"/>
      <c r="O43" s="27"/>
      <c r="P43" s="27"/>
      <c r="Q43" s="6"/>
      <c r="R43" s="129"/>
      <c r="S43" s="5"/>
      <c r="T43" s="129"/>
      <c r="U43" s="130"/>
      <c r="V43" s="5"/>
      <c r="W43" s="5"/>
      <c r="X43" s="130"/>
      <c r="Y43" s="129"/>
    </row>
    <row r="44" spans="1:25" ht="12.75">
      <c r="A44" s="26">
        <v>35</v>
      </c>
      <c r="C44" s="26"/>
      <c r="D44" s="27"/>
      <c r="E44" s="28"/>
      <c r="F44" s="28"/>
      <c r="G44" s="28"/>
      <c r="H44" s="27"/>
      <c r="I44" s="27"/>
      <c r="J44" s="27"/>
      <c r="K44" s="28"/>
      <c r="L44" s="28"/>
      <c r="M44" s="28"/>
      <c r="N44" s="27"/>
      <c r="O44" s="27"/>
      <c r="P44" s="27"/>
      <c r="Q44" s="6"/>
      <c r="R44" s="129"/>
      <c r="S44" s="5"/>
      <c r="T44" s="129"/>
      <c r="U44" s="130"/>
      <c r="V44" s="5"/>
      <c r="W44" s="5"/>
      <c r="X44" s="130"/>
      <c r="Y44" s="129"/>
    </row>
    <row r="45" spans="1:25" ht="12.75">
      <c r="A45" s="26">
        <v>36</v>
      </c>
      <c r="C45" s="26"/>
      <c r="D45" s="27"/>
      <c r="E45" s="28"/>
      <c r="F45" s="28"/>
      <c r="G45" s="28"/>
      <c r="H45" s="27"/>
      <c r="I45" s="27"/>
      <c r="O45" s="27"/>
      <c r="P45" s="27"/>
      <c r="Q45" s="6"/>
      <c r="R45" s="129"/>
      <c r="S45" s="5"/>
      <c r="T45" s="129"/>
      <c r="U45" s="130"/>
      <c r="V45" s="5"/>
      <c r="W45" s="5"/>
      <c r="X45" s="130"/>
      <c r="Y45" s="129"/>
    </row>
    <row r="46" spans="1:25" ht="12.75">
      <c r="A46" s="26">
        <v>37</v>
      </c>
      <c r="C46" s="26"/>
      <c r="D46" s="27"/>
      <c r="E46" s="28"/>
      <c r="F46" s="28"/>
      <c r="G46" s="28"/>
      <c r="H46" s="27"/>
      <c r="I46" s="27"/>
      <c r="O46" s="27"/>
      <c r="P46" s="27"/>
      <c r="Q46" s="6"/>
      <c r="R46" s="129"/>
      <c r="S46" s="5"/>
      <c r="T46" s="129"/>
      <c r="U46" s="130"/>
      <c r="V46" s="5"/>
      <c r="W46" s="5"/>
      <c r="X46" s="130"/>
      <c r="Y46" s="129"/>
    </row>
    <row r="47" spans="1:25" ht="12.75">
      <c r="A47" s="26">
        <v>38</v>
      </c>
      <c r="C47" s="26"/>
      <c r="D47" s="27"/>
      <c r="E47" s="28"/>
      <c r="F47" s="28"/>
      <c r="G47" s="28"/>
      <c r="H47" s="27"/>
      <c r="I47" s="27"/>
      <c r="J47" s="27"/>
      <c r="K47" s="28"/>
      <c r="L47" s="28"/>
      <c r="M47" s="28"/>
      <c r="N47" s="27"/>
      <c r="O47" s="27"/>
      <c r="P47" s="27"/>
      <c r="Q47" s="6"/>
      <c r="R47" s="129"/>
      <c r="S47" s="5"/>
      <c r="T47" s="129"/>
      <c r="U47" s="130"/>
      <c r="V47" s="5"/>
      <c r="W47" s="5"/>
      <c r="X47" s="130"/>
      <c r="Y47" s="129"/>
    </row>
    <row r="48" spans="1:25" ht="12.75">
      <c r="A48" s="26">
        <v>39</v>
      </c>
      <c r="C48" s="26"/>
      <c r="D48" s="27"/>
      <c r="E48" s="28"/>
      <c r="F48" s="28"/>
      <c r="G48" s="28"/>
      <c r="H48" s="27"/>
      <c r="I48" s="27"/>
      <c r="O48" s="27"/>
      <c r="P48" s="27"/>
      <c r="Q48" s="6"/>
      <c r="R48" s="129"/>
      <c r="S48" s="5"/>
      <c r="T48" s="129"/>
      <c r="U48" s="130"/>
      <c r="V48" s="5"/>
      <c r="W48" s="5"/>
      <c r="X48" s="130"/>
      <c r="Y48" s="129"/>
    </row>
    <row r="49" spans="1:25" ht="12.75">
      <c r="A49" s="26">
        <v>40</v>
      </c>
      <c r="C49" s="26"/>
      <c r="D49" s="27"/>
      <c r="E49" s="28"/>
      <c r="F49" s="28"/>
      <c r="G49" s="28"/>
      <c r="H49" s="27"/>
      <c r="I49" s="27"/>
      <c r="O49" s="27"/>
      <c r="P49" s="27"/>
      <c r="Q49" s="6"/>
      <c r="R49" s="129"/>
      <c r="S49" s="5"/>
      <c r="T49" s="129"/>
      <c r="U49" s="130"/>
      <c r="V49" s="5"/>
      <c r="W49" s="5"/>
      <c r="X49" s="130"/>
      <c r="Y49" s="129"/>
    </row>
    <row r="50" spans="1:25" ht="12.75">
      <c r="A50" s="26">
        <v>41</v>
      </c>
      <c r="C50" s="26"/>
      <c r="D50" s="27"/>
      <c r="E50" s="28"/>
      <c r="F50" s="28"/>
      <c r="G50" s="28"/>
      <c r="H50" s="27"/>
      <c r="I50" s="27"/>
      <c r="J50" s="27"/>
      <c r="K50" s="28"/>
      <c r="L50" s="28"/>
      <c r="M50" s="28"/>
      <c r="N50" s="27"/>
      <c r="O50" s="27"/>
      <c r="P50" s="27"/>
      <c r="Q50" s="164"/>
      <c r="R50" s="129"/>
      <c r="S50" s="5"/>
      <c r="T50" s="129"/>
      <c r="U50" s="130"/>
      <c r="V50" s="5"/>
      <c r="W50" s="5"/>
      <c r="X50" s="130"/>
      <c r="Y50" s="129"/>
    </row>
    <row r="51" spans="1:25" ht="12.75">
      <c r="A51" s="26">
        <v>42</v>
      </c>
      <c r="C51" s="26"/>
      <c r="D51" s="27"/>
      <c r="E51" s="28"/>
      <c r="F51" s="28"/>
      <c r="G51" s="28"/>
      <c r="H51" s="27"/>
      <c r="I51" s="27"/>
      <c r="J51" s="27"/>
      <c r="K51" s="28"/>
      <c r="L51" s="28"/>
      <c r="M51" s="28"/>
      <c r="N51" s="27"/>
      <c r="O51" s="27"/>
      <c r="P51" s="27"/>
      <c r="Q51" s="6"/>
      <c r="R51" s="129"/>
      <c r="S51" s="5"/>
      <c r="T51" s="129"/>
      <c r="U51" s="130"/>
      <c r="V51" s="5"/>
      <c r="W51" s="5"/>
      <c r="X51" s="130"/>
      <c r="Y51" s="129"/>
    </row>
    <row r="52" spans="1:25" ht="12.75">
      <c r="A52" s="26">
        <v>43</v>
      </c>
      <c r="C52" s="26"/>
      <c r="D52" s="27"/>
      <c r="E52" s="28"/>
      <c r="F52" s="28"/>
      <c r="G52" s="28"/>
      <c r="H52" s="27"/>
      <c r="I52" s="27"/>
      <c r="O52" s="27"/>
      <c r="P52" s="27"/>
      <c r="Q52" s="6"/>
      <c r="R52" s="129"/>
      <c r="S52" s="5"/>
      <c r="T52" s="129"/>
      <c r="U52" s="130"/>
      <c r="V52" s="5"/>
      <c r="W52" s="5"/>
      <c r="X52" s="130"/>
      <c r="Y52" s="129"/>
    </row>
    <row r="53" spans="1:25" ht="12.75">
      <c r="A53" s="26">
        <v>44</v>
      </c>
      <c r="C53" s="26"/>
      <c r="D53" s="27"/>
      <c r="E53" s="28"/>
      <c r="F53" s="28"/>
      <c r="G53" s="28"/>
      <c r="H53" s="27"/>
      <c r="I53" s="27"/>
      <c r="O53" s="27"/>
      <c r="P53" s="27"/>
      <c r="Q53" s="6"/>
      <c r="R53" s="129"/>
      <c r="S53" s="5"/>
      <c r="T53" s="129"/>
      <c r="U53" s="130"/>
      <c r="V53" s="5"/>
      <c r="W53" s="5"/>
      <c r="X53" s="130"/>
      <c r="Y53" s="129"/>
    </row>
    <row r="54" spans="1:25" ht="12.75">
      <c r="A54" s="26">
        <v>45</v>
      </c>
      <c r="C54" s="26"/>
      <c r="D54" s="27"/>
      <c r="E54" s="28"/>
      <c r="F54" s="28"/>
      <c r="G54" s="28"/>
      <c r="H54" s="27"/>
      <c r="I54" s="27"/>
      <c r="O54" s="27"/>
      <c r="P54" s="27"/>
      <c r="Q54" s="6"/>
      <c r="R54" s="129"/>
      <c r="S54" s="5"/>
      <c r="T54" s="129"/>
      <c r="U54" s="130"/>
      <c r="V54" s="5"/>
      <c r="W54" s="5"/>
      <c r="X54" s="130"/>
      <c r="Y54" s="129"/>
    </row>
    <row r="55" spans="1:25" ht="12.75">
      <c r="A55" s="26">
        <v>46</v>
      </c>
      <c r="C55" s="26"/>
      <c r="D55" s="27"/>
      <c r="E55" s="28"/>
      <c r="F55" s="28"/>
      <c r="G55" s="28"/>
      <c r="H55" s="27"/>
      <c r="I55" s="27"/>
      <c r="J55" s="27"/>
      <c r="K55" s="28"/>
      <c r="L55" s="28"/>
      <c r="M55" s="28"/>
      <c r="N55" s="27"/>
      <c r="O55" s="27"/>
      <c r="P55" s="27"/>
      <c r="Q55" s="6"/>
      <c r="R55" s="129"/>
      <c r="S55" s="5"/>
      <c r="T55" s="129"/>
      <c r="U55" s="130"/>
      <c r="V55" s="5"/>
      <c r="W55" s="5"/>
      <c r="X55" s="130"/>
      <c r="Y55" s="129"/>
    </row>
    <row r="56" spans="1:25" ht="12.75">
      <c r="A56" s="26">
        <v>47</v>
      </c>
      <c r="C56" s="26"/>
      <c r="I56" s="27"/>
      <c r="O56" s="27"/>
      <c r="P56" s="27"/>
      <c r="Q56" s="6"/>
      <c r="R56" s="129"/>
      <c r="S56" s="5"/>
      <c r="T56" s="129"/>
      <c r="U56" s="130"/>
      <c r="V56" s="5"/>
      <c r="W56" s="5"/>
      <c r="X56" s="130"/>
      <c r="Y56" s="129"/>
    </row>
    <row r="57" spans="1:25" ht="12.75">
      <c r="A57" s="26">
        <v>46</v>
      </c>
      <c r="C57" s="26"/>
      <c r="I57" s="27"/>
      <c r="O57" s="27"/>
      <c r="P57" s="27"/>
      <c r="Q57" s="6"/>
      <c r="R57" s="129"/>
      <c r="S57" s="5"/>
      <c r="T57" s="129"/>
      <c r="U57" s="130"/>
      <c r="V57" s="5"/>
      <c r="W57" s="5"/>
      <c r="X57" s="130"/>
      <c r="Y57" s="129"/>
    </row>
    <row r="58" spans="1:25" ht="12.75">
      <c r="A58" s="26">
        <v>49</v>
      </c>
      <c r="C58" s="26"/>
      <c r="I58" s="27"/>
      <c r="O58" s="27"/>
      <c r="P58" s="27"/>
      <c r="Q58" s="6"/>
      <c r="R58" s="129"/>
      <c r="S58" s="5"/>
      <c r="T58" s="129"/>
      <c r="U58" s="130"/>
      <c r="V58" s="5"/>
      <c r="W58" s="5"/>
      <c r="X58" s="130"/>
      <c r="Y58" s="129"/>
    </row>
    <row r="59" spans="1:25" ht="12.75">
      <c r="A59" s="26">
        <v>50</v>
      </c>
      <c r="C59" s="26"/>
      <c r="I59" s="27"/>
      <c r="O59" s="27"/>
      <c r="P59" s="27"/>
      <c r="Q59" s="6"/>
      <c r="R59" s="129"/>
      <c r="S59" s="5"/>
      <c r="T59" s="129"/>
      <c r="U59" s="130"/>
      <c r="V59" s="5"/>
      <c r="W59" s="5"/>
      <c r="X59" s="130"/>
      <c r="Y59" s="129"/>
    </row>
    <row r="60" spans="1:25" ht="12.75">
      <c r="A60" s="26">
        <v>51</v>
      </c>
      <c r="C60" s="26"/>
      <c r="I60" s="27"/>
      <c r="O60" s="27"/>
      <c r="P60" s="27"/>
      <c r="Q60" s="6"/>
      <c r="R60" s="129"/>
      <c r="S60" s="5"/>
      <c r="T60" s="129"/>
      <c r="U60" s="130"/>
      <c r="V60" s="5"/>
      <c r="W60" s="5"/>
      <c r="X60" s="130"/>
      <c r="Y60" s="129"/>
    </row>
    <row r="61" spans="1:25" ht="12.75">
      <c r="A61" s="26">
        <v>52</v>
      </c>
      <c r="C61" s="26"/>
      <c r="I61" s="27"/>
      <c r="O61" s="27"/>
      <c r="P61" s="27"/>
      <c r="Q61" s="6"/>
      <c r="R61" s="129"/>
      <c r="S61" s="5"/>
      <c r="T61" s="129"/>
      <c r="U61" s="130"/>
      <c r="V61" s="5"/>
      <c r="W61" s="5"/>
      <c r="X61" s="130"/>
      <c r="Y61" s="129"/>
    </row>
    <row r="62" spans="1:25" ht="12.75">
      <c r="A62" s="26">
        <v>53</v>
      </c>
      <c r="C62" s="26"/>
      <c r="D62" s="27"/>
      <c r="E62" s="28"/>
      <c r="F62" s="28"/>
      <c r="G62" s="28"/>
      <c r="H62" s="27"/>
      <c r="I62" s="27"/>
      <c r="O62" s="27"/>
      <c r="P62" s="27"/>
      <c r="Q62" s="6"/>
      <c r="R62" s="129"/>
      <c r="S62" s="5"/>
      <c r="T62" s="129"/>
      <c r="U62" s="130"/>
      <c r="V62" s="5"/>
      <c r="W62" s="5"/>
      <c r="X62" s="130"/>
      <c r="Y62" s="129"/>
    </row>
    <row r="63" spans="1:25" ht="12.75">
      <c r="A63" s="26">
        <v>54</v>
      </c>
      <c r="C63" s="26"/>
      <c r="D63" s="27"/>
      <c r="E63" s="28"/>
      <c r="F63" s="28"/>
      <c r="G63" s="28"/>
      <c r="H63" s="27"/>
      <c r="I63" s="27"/>
      <c r="J63" s="27"/>
      <c r="K63" s="28"/>
      <c r="L63" s="28"/>
      <c r="M63" s="28"/>
      <c r="N63" s="27"/>
      <c r="O63" s="27"/>
      <c r="P63" s="27"/>
      <c r="Q63" s="6"/>
      <c r="R63" s="129"/>
      <c r="S63" s="5"/>
      <c r="T63" s="129"/>
      <c r="U63" s="130"/>
      <c r="V63" s="5"/>
      <c r="W63" s="5"/>
      <c r="X63" s="130"/>
      <c r="Y63" s="129"/>
    </row>
    <row r="64" spans="1:25" ht="12.75">
      <c r="A64" s="26">
        <v>55</v>
      </c>
      <c r="C64" s="26"/>
      <c r="D64" s="27"/>
      <c r="E64" s="28"/>
      <c r="F64" s="28"/>
      <c r="G64" s="28"/>
      <c r="H64" s="27"/>
      <c r="I64" s="27"/>
      <c r="O64" s="27"/>
      <c r="P64" s="27"/>
      <c r="Q64" s="6"/>
      <c r="R64" s="129"/>
      <c r="S64" s="5"/>
      <c r="T64" s="129"/>
      <c r="U64" s="130"/>
      <c r="V64" s="5"/>
      <c r="W64" s="5"/>
      <c r="X64" s="130"/>
      <c r="Y64" s="129"/>
    </row>
    <row r="65" spans="1:25" ht="12.75">
      <c r="A65" s="26">
        <v>56</v>
      </c>
      <c r="C65" s="26"/>
      <c r="D65" s="27"/>
      <c r="E65" s="28"/>
      <c r="F65" s="28"/>
      <c r="G65" s="28"/>
      <c r="H65" s="27"/>
      <c r="I65" s="27"/>
      <c r="J65" s="27"/>
      <c r="K65" s="28"/>
      <c r="L65" s="28"/>
      <c r="M65" s="28"/>
      <c r="N65" s="27"/>
      <c r="O65" s="27"/>
      <c r="P65" s="27"/>
      <c r="Q65" s="6"/>
      <c r="R65" s="129"/>
      <c r="S65" s="5"/>
      <c r="T65" s="129"/>
      <c r="U65" s="130"/>
      <c r="V65" s="5"/>
      <c r="W65" s="5"/>
      <c r="X65" s="130"/>
      <c r="Y65" s="129"/>
    </row>
    <row r="66" spans="1:25" ht="12.75">
      <c r="A66" s="26">
        <v>57</v>
      </c>
      <c r="C66" s="26"/>
      <c r="D66" s="27"/>
      <c r="E66" s="28"/>
      <c r="F66" s="28"/>
      <c r="G66" s="28"/>
      <c r="H66" s="27"/>
      <c r="I66" s="27"/>
      <c r="J66" s="27"/>
      <c r="K66" s="28"/>
      <c r="L66" s="28"/>
      <c r="M66" s="28"/>
      <c r="N66" s="27"/>
      <c r="O66" s="27"/>
      <c r="P66" s="27"/>
      <c r="Q66" s="6"/>
      <c r="R66" s="129"/>
      <c r="S66" s="5"/>
      <c r="T66" s="129"/>
      <c r="U66" s="130"/>
      <c r="V66" s="5"/>
      <c r="W66" s="5"/>
      <c r="X66" s="130"/>
      <c r="Y66" s="129"/>
    </row>
    <row r="67" spans="1:25" ht="12.75">
      <c r="A67" s="26">
        <v>58</v>
      </c>
      <c r="C67" s="26"/>
      <c r="D67" s="27"/>
      <c r="E67" s="28"/>
      <c r="F67" s="28"/>
      <c r="G67" s="28"/>
      <c r="H67" s="27"/>
      <c r="I67" s="27"/>
      <c r="J67" s="27"/>
      <c r="K67" s="28"/>
      <c r="L67" s="28"/>
      <c r="M67" s="28"/>
      <c r="N67" s="27"/>
      <c r="O67" s="27"/>
      <c r="P67" s="27"/>
      <c r="Q67" s="6"/>
      <c r="R67" s="129"/>
      <c r="S67" s="5"/>
      <c r="T67" s="129"/>
      <c r="U67" s="130"/>
      <c r="V67" s="5"/>
      <c r="W67" s="5"/>
      <c r="X67" s="130"/>
      <c r="Y67" s="129"/>
    </row>
    <row r="68" spans="1:25" ht="12.75">
      <c r="A68" s="26">
        <v>59</v>
      </c>
      <c r="C68" s="26"/>
      <c r="D68" s="27"/>
      <c r="E68" s="28"/>
      <c r="F68" s="28"/>
      <c r="G68" s="28"/>
      <c r="H68" s="27"/>
      <c r="I68" s="27"/>
      <c r="J68" s="27"/>
      <c r="K68" s="28"/>
      <c r="L68" s="28"/>
      <c r="M68" s="28"/>
      <c r="N68" s="27"/>
      <c r="O68" s="27"/>
      <c r="P68" s="27"/>
      <c r="Q68" s="6"/>
      <c r="R68" s="129"/>
      <c r="S68" s="5"/>
      <c r="T68" s="129"/>
      <c r="U68" s="130"/>
      <c r="V68" s="5"/>
      <c r="W68" s="5"/>
      <c r="X68" s="130"/>
      <c r="Y68" s="129"/>
    </row>
    <row r="69" spans="1:25" ht="12.75">
      <c r="A69" s="26">
        <v>60</v>
      </c>
      <c r="C69" s="26"/>
      <c r="D69" s="27"/>
      <c r="E69" s="28"/>
      <c r="F69" s="28"/>
      <c r="G69" s="28"/>
      <c r="H69" s="27"/>
      <c r="I69" s="27"/>
      <c r="J69" s="27"/>
      <c r="K69" s="28"/>
      <c r="L69" s="28"/>
      <c r="M69" s="28"/>
      <c r="N69" s="27"/>
      <c r="O69" s="27"/>
      <c r="P69" s="27"/>
      <c r="Q69" s="6"/>
      <c r="R69" s="129"/>
      <c r="S69" s="5"/>
      <c r="T69" s="129"/>
      <c r="U69" s="130"/>
      <c r="V69" s="5"/>
      <c r="W69" s="5"/>
      <c r="X69" s="130"/>
      <c r="Y69" s="129"/>
    </row>
    <row r="70" spans="1:25" ht="12.75">
      <c r="A70" s="26">
        <v>61</v>
      </c>
      <c r="C70" s="26"/>
      <c r="I70" s="27"/>
      <c r="O70" s="27"/>
      <c r="P70" s="27"/>
      <c r="Q70" s="6"/>
      <c r="R70" s="129"/>
      <c r="S70" s="5"/>
      <c r="T70" s="129"/>
      <c r="U70" s="130"/>
      <c r="V70" s="5"/>
      <c r="W70" s="5"/>
      <c r="X70" s="130"/>
      <c r="Y70" s="129"/>
    </row>
    <row r="71" spans="1:25" ht="12.75">
      <c r="A71" s="26">
        <v>62</v>
      </c>
      <c r="C71" s="26"/>
      <c r="I71" s="27"/>
      <c r="O71" s="27"/>
      <c r="P71" s="27"/>
      <c r="Q71" s="6"/>
      <c r="R71" s="129"/>
      <c r="S71" s="5"/>
      <c r="T71" s="129"/>
      <c r="U71" s="130"/>
      <c r="V71" s="5"/>
      <c r="W71" s="5"/>
      <c r="X71" s="130"/>
      <c r="Y71" s="129"/>
    </row>
    <row r="72" spans="1:25" ht="12.75">
      <c r="A72" s="26">
        <v>63</v>
      </c>
      <c r="C72" s="26"/>
      <c r="I72" s="27"/>
      <c r="O72" s="27"/>
      <c r="P72" s="27"/>
      <c r="Q72" s="139"/>
      <c r="R72" s="133"/>
      <c r="S72" s="100"/>
      <c r="T72" s="133"/>
      <c r="U72" s="135"/>
      <c r="V72" s="100"/>
      <c r="W72" s="100"/>
      <c r="X72" s="135"/>
      <c r="Y72" s="133"/>
    </row>
    <row r="73" spans="1:25" ht="12.75">
      <c r="A73" s="26">
        <v>64</v>
      </c>
      <c r="C73" s="26"/>
      <c r="I73" s="27"/>
      <c r="O73" s="27"/>
      <c r="P73" s="27"/>
      <c r="Q73" s="163"/>
      <c r="R73" s="133"/>
      <c r="S73" s="100"/>
      <c r="T73" s="134"/>
      <c r="U73" s="135"/>
      <c r="V73" s="100"/>
      <c r="W73" s="100"/>
      <c r="X73" s="135"/>
      <c r="Y73" s="133"/>
    </row>
    <row r="74" spans="1:25" ht="12.75">
      <c r="A74" s="26">
        <v>65</v>
      </c>
      <c r="C74" s="26"/>
      <c r="I74" s="27"/>
      <c r="O74" s="27"/>
      <c r="P74" s="27"/>
      <c r="Q74" s="163"/>
      <c r="R74" s="133"/>
      <c r="S74" s="100"/>
      <c r="T74" s="134"/>
      <c r="U74" s="135"/>
      <c r="V74" s="100"/>
      <c r="W74" s="100"/>
      <c r="X74" s="135"/>
      <c r="Y74" s="133"/>
    </row>
    <row r="75" spans="1:25" ht="12.75">
      <c r="A75" s="26">
        <v>66</v>
      </c>
      <c r="C75" s="26"/>
      <c r="I75" s="27"/>
      <c r="O75" s="27"/>
      <c r="P75" s="27"/>
      <c r="Q75" s="6"/>
      <c r="R75" s="129"/>
      <c r="S75" s="5"/>
      <c r="T75" s="129"/>
      <c r="U75" s="141"/>
      <c r="V75" s="5"/>
      <c r="W75" s="5"/>
      <c r="X75" s="130"/>
      <c r="Y75" s="129"/>
    </row>
    <row r="76" spans="1:25" ht="12.75">
      <c r="A76" s="26">
        <v>67</v>
      </c>
      <c r="C76" s="26"/>
      <c r="I76" s="27"/>
      <c r="O76" s="27"/>
      <c r="P76" s="27"/>
      <c r="Q76" s="6"/>
      <c r="R76" s="129"/>
      <c r="S76" s="5"/>
      <c r="T76" s="129"/>
      <c r="U76" s="141"/>
      <c r="V76" s="5"/>
      <c r="W76" s="5"/>
      <c r="X76" s="130"/>
      <c r="Y76" s="129"/>
    </row>
    <row r="77" spans="1:25" ht="12.75">
      <c r="A77" s="26">
        <v>68</v>
      </c>
      <c r="C77" s="26"/>
      <c r="I77" s="27"/>
      <c r="O77" s="27"/>
      <c r="P77" s="27"/>
      <c r="Q77" s="6"/>
      <c r="R77" s="129"/>
      <c r="S77" s="5"/>
      <c r="T77" s="129"/>
      <c r="U77" s="141"/>
      <c r="V77" s="5"/>
      <c r="W77" s="5"/>
      <c r="X77" s="130"/>
      <c r="Y77" s="129"/>
    </row>
    <row r="78" spans="1:25" ht="12.75">
      <c r="A78" s="26">
        <v>69</v>
      </c>
      <c r="C78" s="26"/>
      <c r="I78" s="27"/>
      <c r="O78" s="27"/>
      <c r="P78" s="27"/>
      <c r="Q78" s="139"/>
      <c r="R78" s="133"/>
      <c r="S78" s="100"/>
      <c r="T78" s="133"/>
      <c r="U78" s="135"/>
      <c r="V78" s="100"/>
      <c r="W78" s="100"/>
      <c r="X78" s="135"/>
      <c r="Y78" s="133"/>
    </row>
    <row r="79" spans="1:25" ht="12.75">
      <c r="A79" s="26">
        <v>70</v>
      </c>
      <c r="C79" s="26"/>
      <c r="I79" s="27"/>
      <c r="O79" s="27"/>
      <c r="P79" s="27"/>
      <c r="Q79" s="164"/>
      <c r="R79" s="129"/>
      <c r="S79" s="5"/>
      <c r="T79" s="129"/>
      <c r="U79" s="130"/>
      <c r="V79" s="5"/>
      <c r="W79" s="5"/>
      <c r="X79" s="130"/>
      <c r="Y79" s="129"/>
    </row>
    <row r="80" spans="1:25" ht="12.75">
      <c r="A80" s="26">
        <v>71</v>
      </c>
      <c r="C80" s="26"/>
      <c r="I80" s="27"/>
      <c r="O80" s="27"/>
      <c r="P80" s="27"/>
      <c r="Q80" s="6"/>
      <c r="R80" s="129"/>
      <c r="S80" s="5"/>
      <c r="T80" s="129"/>
      <c r="U80" s="130"/>
      <c r="V80" s="5"/>
      <c r="W80" s="5"/>
      <c r="X80" s="130"/>
      <c r="Y80" s="129"/>
    </row>
    <row r="81" spans="1:25" ht="12.75">
      <c r="A81" s="26">
        <v>72</v>
      </c>
      <c r="C81" s="26"/>
      <c r="I81" s="27"/>
      <c r="O81" s="27"/>
      <c r="P81" s="27"/>
      <c r="Q81" s="6"/>
      <c r="R81" s="129"/>
      <c r="S81" s="5"/>
      <c r="T81" s="129"/>
      <c r="U81" s="130"/>
      <c r="V81" s="5"/>
      <c r="W81" s="5"/>
      <c r="X81" s="130"/>
      <c r="Y81" s="129"/>
    </row>
    <row r="82" spans="1:25" ht="12.75">
      <c r="A82" s="26">
        <v>73</v>
      </c>
      <c r="C82" s="26"/>
      <c r="I82" s="27"/>
      <c r="O82" s="27"/>
      <c r="P82" s="27"/>
      <c r="Q82" s="6"/>
      <c r="R82" s="129"/>
      <c r="S82" s="5"/>
      <c r="T82" s="129"/>
      <c r="U82" s="130"/>
      <c r="V82" s="5"/>
      <c r="W82" s="5"/>
      <c r="X82" s="130"/>
      <c r="Y82" s="129"/>
    </row>
    <row r="83" spans="1:25" ht="12.75">
      <c r="A83" s="26">
        <v>74</v>
      </c>
      <c r="C83" s="26"/>
      <c r="I83" s="27"/>
      <c r="O83" s="27"/>
      <c r="P83" s="27"/>
      <c r="Q83" s="6"/>
      <c r="R83" s="129"/>
      <c r="S83" s="5"/>
      <c r="T83" s="129"/>
      <c r="U83" s="130"/>
      <c r="V83" s="5"/>
      <c r="W83" s="5"/>
      <c r="X83" s="130"/>
      <c r="Y83" s="129"/>
    </row>
    <row r="84" spans="1:25" ht="12.75">
      <c r="A84" s="26">
        <v>75</v>
      </c>
      <c r="C84" s="26"/>
      <c r="I84" s="27"/>
      <c r="O84" s="27"/>
      <c r="P84" s="27"/>
      <c r="Q84" s="6"/>
      <c r="R84" s="129"/>
      <c r="S84" s="5"/>
      <c r="T84" s="129"/>
      <c r="U84" s="130"/>
      <c r="V84" s="5"/>
      <c r="W84" s="5"/>
      <c r="X84" s="130"/>
      <c r="Y84" s="129"/>
    </row>
    <row r="85" spans="1:25" ht="12.75">
      <c r="A85" s="26">
        <v>76</v>
      </c>
      <c r="C85" s="26"/>
      <c r="I85" s="27"/>
      <c r="O85" s="27"/>
      <c r="P85" s="27"/>
      <c r="Q85" s="164"/>
      <c r="R85" s="129"/>
      <c r="S85" s="5"/>
      <c r="T85" s="129"/>
      <c r="U85" s="130"/>
      <c r="V85" s="5"/>
      <c r="W85" s="5"/>
      <c r="X85" s="130"/>
      <c r="Y85" s="129"/>
    </row>
    <row r="86" spans="1:25" ht="12.75">
      <c r="A86" s="26">
        <v>77</v>
      </c>
      <c r="C86" s="26"/>
      <c r="I86" s="27"/>
      <c r="O86" s="27"/>
      <c r="P86" s="27"/>
      <c r="Q86" s="6"/>
      <c r="R86" s="129"/>
      <c r="S86" s="5"/>
      <c r="T86" s="129"/>
      <c r="U86" s="130"/>
      <c r="V86" s="5"/>
      <c r="W86" s="5"/>
      <c r="X86" s="130"/>
      <c r="Y86" s="129"/>
    </row>
    <row r="87" spans="1:25" ht="12.75">
      <c r="A87" s="26">
        <v>78</v>
      </c>
      <c r="C87" s="26"/>
      <c r="I87" s="27"/>
      <c r="O87" s="27"/>
      <c r="P87" s="27"/>
      <c r="Q87" s="6"/>
      <c r="R87" s="129"/>
      <c r="S87" s="5"/>
      <c r="T87" s="129"/>
      <c r="U87" s="130"/>
      <c r="V87" s="5"/>
      <c r="W87" s="5"/>
      <c r="X87" s="130"/>
      <c r="Y87" s="129"/>
    </row>
    <row r="88" spans="1:25" ht="12.75">
      <c r="A88" s="26">
        <v>79</v>
      </c>
      <c r="C88" s="26"/>
      <c r="I88" s="27"/>
      <c r="O88" s="27"/>
      <c r="P88" s="27"/>
      <c r="Q88" s="139"/>
      <c r="R88" s="133"/>
      <c r="S88" s="100"/>
      <c r="T88" s="133"/>
      <c r="U88" s="135"/>
      <c r="V88" s="100"/>
      <c r="W88" s="100"/>
      <c r="X88" s="135"/>
      <c r="Y88" s="133"/>
    </row>
    <row r="89" spans="1:25" ht="12.75">
      <c r="A89" s="26">
        <v>80</v>
      </c>
      <c r="C89" s="26"/>
      <c r="I89" s="27"/>
      <c r="J89" s="27"/>
      <c r="K89" s="28"/>
      <c r="L89" s="28"/>
      <c r="M89" s="28"/>
      <c r="N89" s="27"/>
      <c r="O89" s="27"/>
      <c r="P89" s="27"/>
      <c r="Q89" s="139"/>
      <c r="R89" s="133"/>
      <c r="S89" s="100"/>
      <c r="T89" s="134"/>
      <c r="U89" s="135"/>
      <c r="V89" s="100"/>
      <c r="W89" s="100"/>
      <c r="X89" s="135"/>
      <c r="Y89" s="133"/>
    </row>
    <row r="90" spans="1:25" ht="12.75">
      <c r="A90" s="26">
        <v>81</v>
      </c>
      <c r="C90" s="26"/>
      <c r="I90" s="27"/>
      <c r="J90" s="27"/>
      <c r="K90" s="28"/>
      <c r="L90" s="28"/>
      <c r="M90" s="28"/>
      <c r="N90" s="27"/>
      <c r="O90" s="27"/>
      <c r="P90" s="27"/>
      <c r="Q90" s="163"/>
      <c r="R90" s="133"/>
      <c r="S90" s="100"/>
      <c r="T90" s="133"/>
      <c r="U90" s="135"/>
      <c r="V90" s="100"/>
      <c r="W90" s="100"/>
      <c r="X90" s="135"/>
      <c r="Y90" s="133"/>
    </row>
    <row r="91" spans="1:25" ht="12.75">
      <c r="A91" s="26">
        <v>82</v>
      </c>
      <c r="C91" s="26"/>
      <c r="I91" s="27"/>
      <c r="O91" s="27"/>
      <c r="P91" s="27"/>
      <c r="Q91" s="6"/>
      <c r="R91" s="129"/>
      <c r="S91" s="5"/>
      <c r="T91" s="129"/>
      <c r="U91" s="130"/>
      <c r="V91" s="5"/>
      <c r="W91" s="5"/>
      <c r="X91" s="130"/>
      <c r="Y91" s="129"/>
    </row>
    <row r="92" spans="1:25" ht="12.75">
      <c r="A92" s="26">
        <v>83</v>
      </c>
      <c r="C92" s="26"/>
      <c r="I92" s="27"/>
      <c r="O92" s="27"/>
      <c r="P92" s="27"/>
      <c r="Q92" s="164"/>
      <c r="R92" s="129"/>
      <c r="S92" s="5"/>
      <c r="T92" s="129"/>
      <c r="U92" s="130"/>
      <c r="V92" s="5"/>
      <c r="W92" s="5"/>
      <c r="X92" s="130"/>
      <c r="Y92" s="129"/>
    </row>
    <row r="93" spans="1:25" ht="12.75">
      <c r="A93" s="26">
        <v>84</v>
      </c>
      <c r="C93" s="26"/>
      <c r="I93" s="27"/>
      <c r="O93" s="27"/>
      <c r="P93" s="27"/>
      <c r="Q93" s="164"/>
      <c r="R93" s="129"/>
      <c r="S93" s="5"/>
      <c r="T93" s="142"/>
      <c r="U93" s="130"/>
      <c r="V93" s="5"/>
      <c r="W93" s="5"/>
      <c r="X93" s="130"/>
      <c r="Y93" s="129"/>
    </row>
    <row r="94" spans="1:25" ht="12.75">
      <c r="A94" s="26">
        <v>85</v>
      </c>
      <c r="C94" s="26"/>
      <c r="I94" s="27"/>
      <c r="O94" s="27"/>
      <c r="P94" s="27"/>
      <c r="Q94" s="6"/>
      <c r="R94" s="129"/>
      <c r="S94" s="5"/>
      <c r="T94" s="129"/>
      <c r="U94" s="130"/>
      <c r="V94" s="5"/>
      <c r="W94" s="5"/>
      <c r="X94" s="130"/>
      <c r="Y94" s="129"/>
    </row>
    <row r="95" spans="1:25" ht="12.75">
      <c r="A95" s="26">
        <v>86</v>
      </c>
      <c r="C95" s="26"/>
      <c r="I95" s="27"/>
      <c r="O95" s="27"/>
      <c r="P95" s="27"/>
      <c r="Q95" s="164"/>
      <c r="R95" s="129"/>
      <c r="S95" s="5"/>
      <c r="T95" s="129"/>
      <c r="U95" s="130"/>
      <c r="V95" s="5"/>
      <c r="W95" s="5"/>
      <c r="X95" s="130"/>
      <c r="Y95" s="129"/>
    </row>
    <row r="96" spans="1:25" ht="12.75">
      <c r="A96" s="26">
        <v>87</v>
      </c>
      <c r="C96" s="26"/>
      <c r="I96" s="27"/>
      <c r="J96" s="27"/>
      <c r="K96" s="28"/>
      <c r="L96" s="28"/>
      <c r="M96" s="28"/>
      <c r="N96" s="27"/>
      <c r="O96" s="27"/>
      <c r="P96" s="27"/>
      <c r="Q96" s="140"/>
      <c r="R96" s="129"/>
      <c r="S96" s="5"/>
      <c r="T96" s="129"/>
      <c r="U96" s="130"/>
      <c r="V96" s="5"/>
      <c r="W96" s="5"/>
      <c r="X96" s="130"/>
      <c r="Y96" s="129"/>
    </row>
    <row r="97" spans="1:25" ht="12.75">
      <c r="A97" s="26">
        <v>88</v>
      </c>
      <c r="C97" s="26"/>
      <c r="I97" s="27"/>
      <c r="J97" s="27"/>
      <c r="K97" s="28"/>
      <c r="L97" s="28"/>
      <c r="M97" s="28"/>
      <c r="N97" s="27"/>
      <c r="O97" s="27"/>
      <c r="P97" s="27"/>
      <c r="Q97" s="140"/>
      <c r="R97" s="129"/>
      <c r="S97" s="5"/>
      <c r="T97" s="129"/>
      <c r="U97" s="130"/>
      <c r="V97" s="5"/>
      <c r="W97" s="5"/>
      <c r="X97" s="130"/>
      <c r="Y97" s="129"/>
    </row>
    <row r="98" spans="1:25" ht="12.75">
      <c r="A98" s="26">
        <v>89</v>
      </c>
      <c r="C98" s="26"/>
      <c r="I98" s="27"/>
      <c r="O98" s="27"/>
      <c r="P98" s="27"/>
      <c r="Q98" s="140"/>
      <c r="R98" s="129"/>
      <c r="S98" s="5"/>
      <c r="T98" s="129"/>
      <c r="U98" s="130"/>
      <c r="V98" s="5"/>
      <c r="W98" s="5"/>
      <c r="X98" s="130"/>
      <c r="Y98" s="129"/>
    </row>
    <row r="99" spans="1:25" ht="12.75">
      <c r="A99" s="26">
        <v>90</v>
      </c>
      <c r="C99" s="26"/>
      <c r="I99" s="27"/>
      <c r="O99" s="27"/>
      <c r="P99" s="27"/>
      <c r="Q99" s="140"/>
      <c r="R99" s="129"/>
      <c r="S99" s="5"/>
      <c r="T99" s="129"/>
      <c r="U99" s="130"/>
      <c r="V99" s="5"/>
      <c r="W99" s="5"/>
      <c r="X99" s="130"/>
      <c r="Y99" s="129"/>
    </row>
    <row r="100" spans="1:25" ht="12.75">
      <c r="A100" s="26">
        <v>91</v>
      </c>
      <c r="C100" s="26"/>
      <c r="I100" s="27"/>
      <c r="J100" s="27"/>
      <c r="K100" s="28"/>
      <c r="L100" s="28"/>
      <c r="M100" s="28"/>
      <c r="N100" s="27"/>
      <c r="O100" s="27"/>
      <c r="P100" s="27"/>
      <c r="Q100" s="140"/>
      <c r="R100" s="129"/>
      <c r="S100" s="5"/>
      <c r="T100" s="129"/>
      <c r="U100" s="130"/>
      <c r="V100" s="5"/>
      <c r="W100" s="5"/>
      <c r="X100" s="130"/>
      <c r="Y100" s="129"/>
    </row>
    <row r="101" spans="1:25" ht="12.75">
      <c r="A101" s="26">
        <v>92</v>
      </c>
      <c r="C101" s="26"/>
      <c r="I101" s="27"/>
      <c r="O101" s="27"/>
      <c r="P101" s="27"/>
      <c r="Q101" s="140"/>
      <c r="R101" s="129"/>
      <c r="S101" s="5"/>
      <c r="T101" s="129"/>
      <c r="U101" s="130"/>
      <c r="V101" s="5"/>
      <c r="W101" s="5"/>
      <c r="X101" s="130"/>
      <c r="Y101" s="129"/>
    </row>
    <row r="102" spans="1:25" ht="12.75">
      <c r="A102" s="26">
        <v>93</v>
      </c>
      <c r="C102" s="26"/>
      <c r="I102" s="27"/>
      <c r="O102" s="27"/>
      <c r="P102" s="27"/>
      <c r="Q102" s="140"/>
      <c r="R102" s="129"/>
      <c r="S102" s="5"/>
      <c r="T102" s="129"/>
      <c r="U102" s="130"/>
      <c r="V102" s="5"/>
      <c r="W102" s="5"/>
      <c r="X102" s="130"/>
      <c r="Y102" s="129"/>
    </row>
    <row r="103" spans="1:25" ht="12.75">
      <c r="A103" s="26">
        <v>94</v>
      </c>
      <c r="C103" s="26"/>
      <c r="I103" s="27"/>
      <c r="J103" s="27"/>
      <c r="K103" s="28"/>
      <c r="L103" s="28"/>
      <c r="M103" s="28"/>
      <c r="N103" s="27"/>
      <c r="O103" s="27"/>
      <c r="P103" s="27"/>
      <c r="Q103" s="6"/>
      <c r="R103" s="129"/>
      <c r="S103" s="5"/>
      <c r="T103" s="129"/>
      <c r="U103" s="130"/>
      <c r="V103" s="5"/>
      <c r="W103" s="5"/>
      <c r="X103" s="130"/>
      <c r="Y103" s="129"/>
    </row>
    <row r="104" spans="1:25" ht="12.75">
      <c r="A104" s="26">
        <v>95</v>
      </c>
      <c r="C104" s="26"/>
      <c r="I104" s="27"/>
      <c r="O104" s="27"/>
      <c r="P104" s="27"/>
      <c r="Q104" s="6"/>
      <c r="R104" s="129"/>
      <c r="S104" s="5"/>
      <c r="T104" s="129"/>
      <c r="U104" s="130"/>
      <c r="V104" s="5"/>
      <c r="W104" s="5"/>
      <c r="X104" s="130"/>
      <c r="Y104" s="129"/>
    </row>
    <row r="105" spans="1:25" ht="12.75">
      <c r="A105" s="26">
        <v>96</v>
      </c>
      <c r="C105" s="26"/>
      <c r="I105" s="27"/>
      <c r="J105" s="27"/>
      <c r="K105" s="28"/>
      <c r="L105" s="28"/>
      <c r="M105" s="28"/>
      <c r="N105" s="27"/>
      <c r="O105" s="27"/>
      <c r="P105" s="27"/>
      <c r="Q105" s="140"/>
      <c r="R105" s="129"/>
      <c r="S105" s="5"/>
      <c r="T105" s="129"/>
      <c r="U105" s="130"/>
      <c r="V105" s="5"/>
      <c r="W105" s="5"/>
      <c r="X105" s="130"/>
      <c r="Y105" s="129"/>
    </row>
    <row r="106" spans="1:25" ht="12.75">
      <c r="A106" s="26">
        <v>97</v>
      </c>
      <c r="C106" s="26"/>
      <c r="I106" s="27"/>
      <c r="O106" s="27"/>
      <c r="P106" s="27"/>
      <c r="Q106" s="6"/>
      <c r="R106" s="129"/>
      <c r="S106" s="5"/>
      <c r="T106" s="129"/>
      <c r="U106" s="130"/>
      <c r="V106" s="5"/>
      <c r="W106" s="5"/>
      <c r="X106" s="130"/>
      <c r="Y106" s="129"/>
    </row>
    <row r="107" spans="1:25" ht="12.75">
      <c r="A107" s="26">
        <v>98</v>
      </c>
      <c r="C107" s="26"/>
      <c r="I107" s="27"/>
      <c r="O107" s="27"/>
      <c r="P107" s="27"/>
      <c r="Q107" s="164"/>
      <c r="R107" s="129"/>
      <c r="S107" s="5"/>
      <c r="T107" s="129"/>
      <c r="U107" s="130"/>
      <c r="V107" s="5"/>
      <c r="W107" s="5"/>
      <c r="X107" s="130"/>
      <c r="Y107" s="129"/>
    </row>
    <row r="108" spans="1:25" ht="12.75">
      <c r="A108" s="26">
        <v>99</v>
      </c>
      <c r="C108" s="26"/>
      <c r="I108" s="27"/>
      <c r="O108" s="27"/>
      <c r="P108" s="27"/>
      <c r="Q108" s="140"/>
      <c r="R108" s="129"/>
      <c r="S108" s="5"/>
      <c r="T108" s="129"/>
      <c r="U108" s="130"/>
      <c r="V108" s="5"/>
      <c r="W108" s="5"/>
      <c r="X108" s="130"/>
      <c r="Y108" s="129"/>
    </row>
    <row r="109" spans="1:25" ht="12.75">
      <c r="A109" s="26">
        <v>100</v>
      </c>
      <c r="C109" s="26"/>
      <c r="I109" s="27"/>
      <c r="O109" s="27"/>
      <c r="P109" s="27"/>
      <c r="Q109" s="140"/>
      <c r="R109" s="129"/>
      <c r="S109" s="5"/>
      <c r="T109" s="129"/>
      <c r="U109" s="130"/>
      <c r="V109" s="5"/>
      <c r="W109" s="5"/>
      <c r="X109" s="130"/>
      <c r="Y109" s="129"/>
    </row>
    <row r="110" spans="1:25" ht="12.75">
      <c r="A110" s="26">
        <v>101</v>
      </c>
      <c r="C110" s="26"/>
      <c r="I110" s="27"/>
      <c r="O110" s="27"/>
      <c r="P110" s="27"/>
      <c r="Q110" s="6"/>
      <c r="R110" s="129"/>
      <c r="S110" s="5"/>
      <c r="T110" s="129"/>
      <c r="U110" s="130"/>
      <c r="V110" s="5"/>
      <c r="W110" s="5"/>
      <c r="X110" s="130"/>
      <c r="Y110" s="129"/>
    </row>
    <row r="111" spans="1:25" ht="12.75">
      <c r="A111" s="26">
        <v>102</v>
      </c>
      <c r="C111" s="26"/>
      <c r="I111" s="27"/>
      <c r="O111" s="27"/>
      <c r="P111" s="27"/>
      <c r="Q111" s="6"/>
      <c r="R111" s="129"/>
      <c r="S111" s="5"/>
      <c r="T111" s="129"/>
      <c r="U111" s="130"/>
      <c r="V111" s="5"/>
      <c r="W111" s="5"/>
      <c r="X111" s="130"/>
      <c r="Y111" s="129"/>
    </row>
    <row r="112" spans="1:25" ht="12.75">
      <c r="A112" s="26">
        <v>103</v>
      </c>
      <c r="C112" s="26"/>
      <c r="I112" s="27"/>
      <c r="O112" s="27"/>
      <c r="P112" s="27"/>
      <c r="Q112" s="6"/>
      <c r="R112" s="129"/>
      <c r="S112" s="5"/>
      <c r="T112" s="129"/>
      <c r="U112" s="130"/>
      <c r="V112" s="5"/>
      <c r="W112" s="5"/>
      <c r="X112" s="130"/>
      <c r="Y112" s="129"/>
    </row>
    <row r="113" spans="1:25" ht="12.75">
      <c r="A113" s="26">
        <v>104</v>
      </c>
      <c r="C113" s="26"/>
      <c r="I113" s="27"/>
      <c r="O113" s="27"/>
      <c r="P113" s="27"/>
      <c r="Q113" s="6"/>
      <c r="R113" s="129"/>
      <c r="S113" s="5"/>
      <c r="T113" s="129"/>
      <c r="U113" s="130"/>
      <c r="V113" s="5"/>
      <c r="W113" s="5"/>
      <c r="X113" s="130"/>
      <c r="Y113" s="129"/>
    </row>
    <row r="114" spans="1:25" ht="12.75">
      <c r="A114" s="26">
        <v>105</v>
      </c>
      <c r="C114" s="26"/>
      <c r="I114" s="27"/>
      <c r="O114" s="27"/>
      <c r="P114" s="27"/>
      <c r="Q114" s="6"/>
      <c r="R114" s="129"/>
      <c r="S114" s="5"/>
      <c r="T114" s="129"/>
      <c r="U114" s="130"/>
      <c r="V114" s="5"/>
      <c r="W114" s="5"/>
      <c r="X114" s="130"/>
      <c r="Y114" s="129"/>
    </row>
    <row r="115" spans="1:25" ht="12.75">
      <c r="A115" s="26">
        <f>A114+1</f>
        <v>106</v>
      </c>
      <c r="C115" s="26"/>
      <c r="I115" s="27"/>
      <c r="O115" s="27"/>
      <c r="P115" s="27"/>
      <c r="Q115" s="140"/>
      <c r="R115" s="129"/>
      <c r="S115" s="5"/>
      <c r="T115" s="129"/>
      <c r="U115" s="130"/>
      <c r="V115" s="5"/>
      <c r="W115" s="5"/>
      <c r="X115" s="130"/>
      <c r="Y115" s="129"/>
    </row>
    <row r="116" spans="1:25" ht="12.75">
      <c r="A116" s="26">
        <f aca="true" t="shared" si="0" ref="A116:A179">A115+1</f>
        <v>107</v>
      </c>
      <c r="C116" s="26"/>
      <c r="I116" s="27"/>
      <c r="O116" s="27"/>
      <c r="P116" s="27"/>
      <c r="Q116" s="6"/>
      <c r="R116" s="129"/>
      <c r="S116" s="5"/>
      <c r="T116" s="129"/>
      <c r="U116" s="130"/>
      <c r="V116" s="5"/>
      <c r="W116" s="5"/>
      <c r="X116" s="130"/>
      <c r="Y116" s="129"/>
    </row>
    <row r="117" spans="1:25" ht="12.75">
      <c r="A117" s="26">
        <f t="shared" si="0"/>
        <v>108</v>
      </c>
      <c r="C117" s="26"/>
      <c r="I117" s="27"/>
      <c r="O117" s="27"/>
      <c r="P117" s="27"/>
      <c r="Q117" s="139"/>
      <c r="R117" s="133"/>
      <c r="S117" s="100"/>
      <c r="T117" s="133"/>
      <c r="U117" s="135"/>
      <c r="V117" s="100"/>
      <c r="W117" s="100"/>
      <c r="X117" s="135"/>
      <c r="Y117" s="133"/>
    </row>
    <row r="118" spans="1:25" ht="12.75">
      <c r="A118" s="26">
        <f t="shared" si="0"/>
        <v>109</v>
      </c>
      <c r="C118" s="26"/>
      <c r="I118" s="27"/>
      <c r="O118" s="27"/>
      <c r="P118" s="27"/>
      <c r="Q118" s="6"/>
      <c r="R118" s="129"/>
      <c r="S118" s="5"/>
      <c r="T118" s="129"/>
      <c r="U118" s="130"/>
      <c r="V118" s="5"/>
      <c r="W118" s="5"/>
      <c r="X118" s="130"/>
      <c r="Y118" s="129"/>
    </row>
    <row r="119" spans="1:25" ht="12.75">
      <c r="A119" s="26">
        <f t="shared" si="0"/>
        <v>110</v>
      </c>
      <c r="C119" s="26"/>
      <c r="I119" s="27"/>
      <c r="O119" s="27"/>
      <c r="P119" s="27"/>
      <c r="Q119" s="140"/>
      <c r="R119" s="129"/>
      <c r="S119" s="5"/>
      <c r="T119" s="144"/>
      <c r="U119" s="130"/>
      <c r="V119" s="5"/>
      <c r="W119" s="5"/>
      <c r="X119" s="130"/>
      <c r="Y119" s="129"/>
    </row>
    <row r="120" spans="1:25" ht="12.75">
      <c r="A120" s="26">
        <f t="shared" si="0"/>
        <v>111</v>
      </c>
      <c r="C120" s="26"/>
      <c r="I120" s="27"/>
      <c r="O120" s="27"/>
      <c r="P120" s="27"/>
      <c r="Q120" s="140"/>
      <c r="R120" s="129"/>
      <c r="S120" s="5"/>
      <c r="T120" s="144"/>
      <c r="U120" s="130"/>
      <c r="V120" s="5"/>
      <c r="W120" s="5"/>
      <c r="X120" s="130"/>
      <c r="Y120" s="129"/>
    </row>
    <row r="121" spans="1:25" ht="12.75">
      <c r="A121" s="26">
        <f t="shared" si="0"/>
        <v>112</v>
      </c>
      <c r="C121" s="26"/>
      <c r="I121" s="27"/>
      <c r="O121" s="27"/>
      <c r="P121" s="27"/>
      <c r="Q121" s="140"/>
      <c r="R121" s="129"/>
      <c r="S121" s="5"/>
      <c r="T121" s="144"/>
      <c r="U121" s="130"/>
      <c r="V121" s="5"/>
      <c r="W121" s="5"/>
      <c r="X121" s="130"/>
      <c r="Y121" s="129"/>
    </row>
    <row r="122" spans="1:25" ht="12.75">
      <c r="A122" s="26">
        <f t="shared" si="0"/>
        <v>113</v>
      </c>
      <c r="C122" s="26"/>
      <c r="I122" s="27"/>
      <c r="O122" s="27"/>
      <c r="P122" s="27"/>
      <c r="Q122" s="6"/>
      <c r="R122" s="129"/>
      <c r="S122" s="5"/>
      <c r="T122" s="129"/>
      <c r="U122" s="130"/>
      <c r="V122" s="5"/>
      <c r="W122" s="5"/>
      <c r="X122" s="130"/>
      <c r="Y122" s="129"/>
    </row>
    <row r="123" spans="1:25" ht="12.75">
      <c r="A123" s="26">
        <f t="shared" si="0"/>
        <v>114</v>
      </c>
      <c r="C123" s="26"/>
      <c r="I123" s="27"/>
      <c r="O123" s="27"/>
      <c r="P123" s="27"/>
      <c r="Q123" s="163"/>
      <c r="R123" s="133"/>
      <c r="S123" s="100"/>
      <c r="T123" s="133"/>
      <c r="U123" s="135"/>
      <c r="V123" s="100"/>
      <c r="W123" s="100"/>
      <c r="X123" s="135"/>
      <c r="Y123" s="145"/>
    </row>
    <row r="124" spans="1:25" ht="12.75">
      <c r="A124" s="26">
        <f t="shared" si="0"/>
        <v>115</v>
      </c>
      <c r="C124" s="26"/>
      <c r="I124" s="27"/>
      <c r="O124" s="27"/>
      <c r="P124" s="27"/>
      <c r="Q124" s="140"/>
      <c r="R124" s="129"/>
      <c r="S124" s="5"/>
      <c r="T124" s="129"/>
      <c r="U124" s="130"/>
      <c r="V124" s="5"/>
      <c r="W124" s="5"/>
      <c r="X124" s="130"/>
      <c r="Y124" s="129"/>
    </row>
    <row r="125" spans="1:25" ht="12.75">
      <c r="A125" s="26">
        <f t="shared" si="0"/>
        <v>116</v>
      </c>
      <c r="C125" s="26"/>
      <c r="I125" s="27"/>
      <c r="O125" s="27"/>
      <c r="P125" s="27"/>
      <c r="Q125" s="164"/>
      <c r="R125" s="129"/>
      <c r="S125" s="5"/>
      <c r="T125" s="129"/>
      <c r="U125" s="130"/>
      <c r="V125" s="5"/>
      <c r="W125" s="5"/>
      <c r="X125" s="130"/>
      <c r="Y125" s="129"/>
    </row>
    <row r="126" spans="1:25" ht="12.75">
      <c r="A126" s="26">
        <f t="shared" si="0"/>
        <v>117</v>
      </c>
      <c r="C126" s="26"/>
      <c r="I126" s="27"/>
      <c r="O126" s="27"/>
      <c r="P126" s="27"/>
      <c r="Q126" s="140"/>
      <c r="R126" s="129"/>
      <c r="S126" s="5"/>
      <c r="T126" s="129"/>
      <c r="U126" s="130"/>
      <c r="V126" s="5"/>
      <c r="W126" s="5"/>
      <c r="X126" s="130"/>
      <c r="Y126" s="129"/>
    </row>
    <row r="127" spans="1:25" ht="12.75">
      <c r="A127" s="26">
        <f t="shared" si="0"/>
        <v>118</v>
      </c>
      <c r="C127" s="26"/>
      <c r="I127" s="27"/>
      <c r="O127" s="27"/>
      <c r="P127" s="27"/>
      <c r="Q127" s="140"/>
      <c r="R127" s="129"/>
      <c r="S127" s="5"/>
      <c r="T127" s="129"/>
      <c r="U127" s="130"/>
      <c r="V127" s="5"/>
      <c r="W127" s="5"/>
      <c r="X127" s="130"/>
      <c r="Y127" s="129"/>
    </row>
    <row r="128" spans="1:25" ht="12.75">
      <c r="A128" s="26">
        <f t="shared" si="0"/>
        <v>119</v>
      </c>
      <c r="C128" s="26"/>
      <c r="I128" s="27"/>
      <c r="O128" s="27"/>
      <c r="P128" s="27"/>
      <c r="Q128" s="140"/>
      <c r="R128" s="129"/>
      <c r="S128" s="5"/>
      <c r="T128" s="129"/>
      <c r="U128" s="130"/>
      <c r="V128" s="5"/>
      <c r="W128" s="5"/>
      <c r="X128" s="130"/>
      <c r="Y128" s="129"/>
    </row>
    <row r="129" spans="1:25" ht="12.75">
      <c r="A129" s="26">
        <f t="shared" si="0"/>
        <v>120</v>
      </c>
      <c r="C129" s="26"/>
      <c r="I129" s="27"/>
      <c r="O129" s="27"/>
      <c r="P129" s="27"/>
      <c r="Q129" s="140"/>
      <c r="R129" s="129"/>
      <c r="S129" s="5"/>
      <c r="T129" s="129"/>
      <c r="U129" s="130"/>
      <c r="V129" s="5"/>
      <c r="W129" s="5"/>
      <c r="X129" s="130"/>
      <c r="Y129" s="129"/>
    </row>
    <row r="130" spans="1:25" ht="12.75">
      <c r="A130" s="26">
        <f t="shared" si="0"/>
        <v>121</v>
      </c>
      <c r="C130" s="26"/>
      <c r="I130" s="27"/>
      <c r="O130" s="27"/>
      <c r="P130" s="27"/>
      <c r="Q130" s="140"/>
      <c r="R130" s="129"/>
      <c r="S130" s="5"/>
      <c r="T130" s="129"/>
      <c r="U130" s="130"/>
      <c r="V130" s="5"/>
      <c r="W130" s="5"/>
      <c r="X130" s="130"/>
      <c r="Y130" s="129"/>
    </row>
    <row r="131" spans="1:25" ht="12.75">
      <c r="A131" s="26">
        <f t="shared" si="0"/>
        <v>122</v>
      </c>
      <c r="C131" s="26"/>
      <c r="I131" s="27"/>
      <c r="J131" s="27"/>
      <c r="K131" s="28"/>
      <c r="L131" s="28"/>
      <c r="M131" s="28"/>
      <c r="N131" s="27"/>
      <c r="O131" s="27"/>
      <c r="P131" s="27"/>
      <c r="Q131" s="140"/>
      <c r="R131" s="129"/>
      <c r="S131" s="5"/>
      <c r="T131" s="129"/>
      <c r="U131" s="130"/>
      <c r="V131" s="5"/>
      <c r="W131" s="5"/>
      <c r="X131" s="130"/>
      <c r="Y131" s="129"/>
    </row>
    <row r="132" spans="1:25" ht="12.75">
      <c r="A132" s="26">
        <f t="shared" si="0"/>
        <v>123</v>
      </c>
      <c r="C132" s="26"/>
      <c r="I132" s="27"/>
      <c r="O132" s="27"/>
      <c r="P132" s="27"/>
      <c r="Q132" s="140"/>
      <c r="R132" s="129"/>
      <c r="S132" s="5"/>
      <c r="T132" s="129"/>
      <c r="U132" s="130"/>
      <c r="V132" s="5"/>
      <c r="W132" s="5"/>
      <c r="X132" s="130"/>
      <c r="Y132" s="129"/>
    </row>
    <row r="133" spans="1:25" ht="12.75">
      <c r="A133" s="26">
        <f t="shared" si="0"/>
        <v>124</v>
      </c>
      <c r="C133" s="26"/>
      <c r="I133" s="27"/>
      <c r="O133" s="27"/>
      <c r="P133" s="27"/>
      <c r="Q133" s="6"/>
      <c r="R133" s="129"/>
      <c r="S133" s="5"/>
      <c r="T133" s="129"/>
      <c r="U133" s="130"/>
      <c r="V133" s="5"/>
      <c r="W133" s="5"/>
      <c r="X133" s="130"/>
      <c r="Y133" s="129"/>
    </row>
    <row r="134" spans="1:25" ht="12.75">
      <c r="A134" s="26">
        <f t="shared" si="0"/>
        <v>125</v>
      </c>
      <c r="C134" s="26"/>
      <c r="I134" s="27"/>
      <c r="O134" s="27"/>
      <c r="P134" s="27"/>
      <c r="Q134" s="6"/>
      <c r="R134" s="129"/>
      <c r="S134" s="5"/>
      <c r="T134" s="129"/>
      <c r="U134" s="130"/>
      <c r="V134" s="5"/>
      <c r="W134" s="5"/>
      <c r="X134" s="130"/>
      <c r="Y134" s="129"/>
    </row>
    <row r="135" spans="1:25" ht="12.75">
      <c r="A135" s="26">
        <f t="shared" si="0"/>
        <v>126</v>
      </c>
      <c r="C135" s="26"/>
      <c r="I135" s="27"/>
      <c r="O135" s="27"/>
      <c r="P135" s="27"/>
      <c r="Q135" s="139"/>
      <c r="R135" s="133"/>
      <c r="S135" s="100"/>
      <c r="T135" s="133"/>
      <c r="U135" s="135"/>
      <c r="V135" s="100"/>
      <c r="W135" s="100"/>
      <c r="X135" s="135"/>
      <c r="Y135" s="133"/>
    </row>
    <row r="136" spans="1:25" ht="12.75">
      <c r="A136" s="26">
        <f t="shared" si="0"/>
        <v>127</v>
      </c>
      <c r="C136" s="26"/>
      <c r="I136" s="27"/>
      <c r="O136" s="27"/>
      <c r="P136" s="27"/>
      <c r="Q136" s="139"/>
      <c r="R136" s="133"/>
      <c r="S136" s="100"/>
      <c r="T136" s="133"/>
      <c r="U136" s="135"/>
      <c r="V136" s="100"/>
      <c r="W136" s="100"/>
      <c r="X136" s="135"/>
      <c r="Y136" s="133"/>
    </row>
    <row r="137" spans="1:25" ht="12.75">
      <c r="A137" s="26">
        <f t="shared" si="0"/>
        <v>128</v>
      </c>
      <c r="C137" s="26"/>
      <c r="I137" s="27"/>
      <c r="O137" s="27"/>
      <c r="P137" s="27"/>
      <c r="Q137" s="139"/>
      <c r="R137" s="133"/>
      <c r="S137" s="100"/>
      <c r="T137" s="133"/>
      <c r="U137" s="135"/>
      <c r="V137" s="100"/>
      <c r="W137" s="100"/>
      <c r="X137" s="135"/>
      <c r="Y137" s="133"/>
    </row>
    <row r="138" spans="1:25" ht="12.75">
      <c r="A138" s="26">
        <f t="shared" si="0"/>
        <v>129</v>
      </c>
      <c r="C138" s="26"/>
      <c r="I138" s="27"/>
      <c r="O138" s="27"/>
      <c r="P138" s="27"/>
      <c r="Q138" s="140"/>
      <c r="R138" s="129"/>
      <c r="S138" s="5"/>
      <c r="T138" s="144"/>
      <c r="U138" s="130"/>
      <c r="V138" s="5"/>
      <c r="W138" s="5"/>
      <c r="X138" s="130"/>
      <c r="Y138" s="129"/>
    </row>
    <row r="139" spans="1:25" ht="12.75">
      <c r="A139" s="26">
        <f t="shared" si="0"/>
        <v>130</v>
      </c>
      <c r="C139" s="26"/>
      <c r="I139" s="27"/>
      <c r="O139" s="27"/>
      <c r="P139" s="27"/>
      <c r="Q139" s="6"/>
      <c r="R139" s="129"/>
      <c r="S139" s="5"/>
      <c r="T139" s="129"/>
      <c r="U139" s="130"/>
      <c r="V139" s="5"/>
      <c r="W139" s="5"/>
      <c r="X139" s="130"/>
      <c r="Y139" s="129"/>
    </row>
    <row r="140" spans="1:25" ht="12.75">
      <c r="A140" s="26">
        <f t="shared" si="0"/>
        <v>131</v>
      </c>
      <c r="C140" s="26"/>
      <c r="I140" s="27"/>
      <c r="O140" s="27"/>
      <c r="P140" s="27"/>
      <c r="Q140" s="140"/>
      <c r="R140" s="129"/>
      <c r="S140" s="5"/>
      <c r="T140" s="144"/>
      <c r="U140" s="130"/>
      <c r="V140" s="5"/>
      <c r="W140" s="5"/>
      <c r="X140" s="130"/>
      <c r="Y140" s="129"/>
    </row>
    <row r="141" spans="1:25" ht="12.75">
      <c r="A141" s="26">
        <f t="shared" si="0"/>
        <v>132</v>
      </c>
      <c r="C141" s="26"/>
      <c r="I141" s="27"/>
      <c r="O141" s="27"/>
      <c r="P141" s="27"/>
      <c r="Q141" s="140"/>
      <c r="R141" s="129"/>
      <c r="S141" s="5"/>
      <c r="T141" s="144"/>
      <c r="U141" s="130"/>
      <c r="V141" s="5"/>
      <c r="W141" s="5"/>
      <c r="X141" s="130"/>
      <c r="Y141" s="129"/>
    </row>
    <row r="142" spans="1:25" ht="12.75">
      <c r="A142" s="26">
        <f t="shared" si="0"/>
        <v>133</v>
      </c>
      <c r="C142" s="26"/>
      <c r="I142" s="27"/>
      <c r="O142" s="27"/>
      <c r="P142" s="27"/>
      <c r="Q142" s="140"/>
      <c r="R142" s="129"/>
      <c r="S142" s="5"/>
      <c r="T142" s="144"/>
      <c r="U142" s="130"/>
      <c r="V142" s="5"/>
      <c r="W142" s="5"/>
      <c r="X142" s="130"/>
      <c r="Y142" s="129"/>
    </row>
    <row r="143" spans="1:25" ht="12.75">
      <c r="A143" s="26">
        <f t="shared" si="0"/>
        <v>134</v>
      </c>
      <c r="C143" s="26"/>
      <c r="I143" s="27"/>
      <c r="O143" s="27"/>
      <c r="P143" s="27"/>
      <c r="Q143" s="163"/>
      <c r="R143" s="133"/>
      <c r="S143" s="100"/>
      <c r="T143" s="134"/>
      <c r="U143" s="135"/>
      <c r="V143" s="100"/>
      <c r="W143" s="100"/>
      <c r="X143" s="135"/>
      <c r="Y143" s="133"/>
    </row>
    <row r="144" spans="1:25" ht="12.75">
      <c r="A144" s="26">
        <f t="shared" si="0"/>
        <v>135</v>
      </c>
      <c r="C144" s="26"/>
      <c r="I144" s="27"/>
      <c r="O144" s="27"/>
      <c r="P144" s="27"/>
      <c r="Q144" s="164"/>
      <c r="R144" s="129"/>
      <c r="S144" s="5"/>
      <c r="T144" s="144"/>
      <c r="U144" s="130"/>
      <c r="V144" s="5"/>
      <c r="W144" s="5"/>
      <c r="X144" s="130"/>
      <c r="Y144" s="129"/>
    </row>
    <row r="145" spans="1:25" ht="12.75">
      <c r="A145" s="26">
        <f t="shared" si="0"/>
        <v>136</v>
      </c>
      <c r="C145" s="26"/>
      <c r="I145" s="27"/>
      <c r="O145" s="27"/>
      <c r="P145" s="27"/>
      <c r="Q145" s="6"/>
      <c r="R145" s="129"/>
      <c r="S145" s="5"/>
      <c r="T145" s="129"/>
      <c r="U145" s="130"/>
      <c r="V145" s="5"/>
      <c r="W145" s="5"/>
      <c r="X145" s="130"/>
      <c r="Y145" s="129"/>
    </row>
    <row r="146" spans="1:25" ht="12.75">
      <c r="A146" s="26">
        <f t="shared" si="0"/>
        <v>137</v>
      </c>
      <c r="C146" s="26"/>
      <c r="I146" s="27"/>
      <c r="O146" s="27"/>
      <c r="P146" s="27"/>
      <c r="Q146" s="140"/>
      <c r="R146" s="129"/>
      <c r="S146" s="5"/>
      <c r="T146" s="144"/>
      <c r="U146" s="130"/>
      <c r="V146" s="5"/>
      <c r="W146" s="5"/>
      <c r="X146" s="130"/>
      <c r="Y146" s="129"/>
    </row>
    <row r="147" spans="1:25" ht="12.75">
      <c r="A147" s="26">
        <f t="shared" si="0"/>
        <v>138</v>
      </c>
      <c r="C147" s="26"/>
      <c r="I147" s="27"/>
      <c r="O147" s="27"/>
      <c r="P147" s="27"/>
      <c r="Q147" s="139"/>
      <c r="R147" s="133"/>
      <c r="S147" s="100"/>
      <c r="T147" s="133"/>
      <c r="U147" s="135"/>
      <c r="V147" s="100"/>
      <c r="W147" s="100"/>
      <c r="X147" s="135"/>
      <c r="Y147" s="133"/>
    </row>
    <row r="148" spans="1:25" ht="12.75">
      <c r="A148" s="26">
        <f t="shared" si="0"/>
        <v>139</v>
      </c>
      <c r="C148" s="26"/>
      <c r="I148" s="27"/>
      <c r="O148" s="27"/>
      <c r="P148" s="27"/>
      <c r="Q148" s="6"/>
      <c r="R148" s="129"/>
      <c r="S148" s="5"/>
      <c r="T148" s="129"/>
      <c r="U148" s="130"/>
      <c r="V148" s="5"/>
      <c r="W148" s="5"/>
      <c r="X148" s="130"/>
      <c r="Y148" s="129"/>
    </row>
    <row r="149" spans="1:25" ht="12.75">
      <c r="A149" s="26">
        <f t="shared" si="0"/>
        <v>140</v>
      </c>
      <c r="C149" s="26"/>
      <c r="I149" s="27"/>
      <c r="O149" s="27"/>
      <c r="P149" s="27"/>
      <c r="Q149" s="6"/>
      <c r="R149" s="129"/>
      <c r="S149" s="5"/>
      <c r="T149" s="129"/>
      <c r="U149" s="130"/>
      <c r="V149" s="5"/>
      <c r="W149" s="5"/>
      <c r="X149" s="130"/>
      <c r="Y149" s="129"/>
    </row>
    <row r="150" spans="1:25" ht="12.75">
      <c r="A150" s="26">
        <f t="shared" si="0"/>
        <v>141</v>
      </c>
      <c r="C150" s="26"/>
      <c r="I150" s="27"/>
      <c r="O150" s="27"/>
      <c r="P150" s="27"/>
      <c r="Q150" s="6"/>
      <c r="R150" s="129"/>
      <c r="S150" s="5"/>
      <c r="T150" s="129"/>
      <c r="U150" s="130"/>
      <c r="V150" s="5"/>
      <c r="W150" s="5"/>
      <c r="X150" s="130"/>
      <c r="Y150" s="129"/>
    </row>
    <row r="151" spans="1:25" ht="12.75">
      <c r="A151" s="26">
        <f t="shared" si="0"/>
        <v>142</v>
      </c>
      <c r="C151" s="26"/>
      <c r="I151" s="27"/>
      <c r="O151" s="27"/>
      <c r="P151" s="27"/>
      <c r="Q151" s="140"/>
      <c r="R151" s="129"/>
      <c r="S151" s="5"/>
      <c r="T151" s="129"/>
      <c r="U151" s="130"/>
      <c r="V151" s="5"/>
      <c r="W151" s="5"/>
      <c r="X151" s="130"/>
      <c r="Y151" s="129"/>
    </row>
    <row r="152" spans="1:25" ht="12.75">
      <c r="A152" s="26">
        <f t="shared" si="0"/>
        <v>143</v>
      </c>
      <c r="C152" s="26"/>
      <c r="I152" s="27"/>
      <c r="O152" s="27"/>
      <c r="P152" s="27"/>
      <c r="Q152" s="164"/>
      <c r="R152" s="129"/>
      <c r="S152" s="5"/>
      <c r="T152" s="129"/>
      <c r="U152" s="130"/>
      <c r="V152" s="5"/>
      <c r="W152" s="5"/>
      <c r="X152" s="130"/>
      <c r="Y152" s="129"/>
    </row>
    <row r="153" spans="1:25" ht="12.75">
      <c r="A153" s="26">
        <f t="shared" si="0"/>
        <v>144</v>
      </c>
      <c r="C153" s="26"/>
      <c r="I153" s="27"/>
      <c r="O153" s="27"/>
      <c r="P153" s="27"/>
      <c r="Q153" s="140"/>
      <c r="R153" s="129"/>
      <c r="S153" s="5"/>
      <c r="T153" s="129"/>
      <c r="U153" s="130"/>
      <c r="V153" s="5"/>
      <c r="W153" s="5"/>
      <c r="X153" s="130"/>
      <c r="Y153" s="129"/>
    </row>
    <row r="154" spans="1:25" ht="12.75">
      <c r="A154" s="26">
        <f t="shared" si="0"/>
        <v>145</v>
      </c>
      <c r="C154" s="26"/>
      <c r="I154" s="27"/>
      <c r="O154" s="27"/>
      <c r="P154" s="27"/>
      <c r="Q154" s="140"/>
      <c r="R154" s="129"/>
      <c r="S154" s="5"/>
      <c r="T154" s="129"/>
      <c r="U154" s="130"/>
      <c r="V154" s="5"/>
      <c r="W154" s="5"/>
      <c r="X154" s="130"/>
      <c r="Y154" s="129"/>
    </row>
    <row r="155" spans="1:25" ht="12.75">
      <c r="A155" s="26">
        <f t="shared" si="0"/>
        <v>146</v>
      </c>
      <c r="C155" s="26"/>
      <c r="I155" s="27"/>
      <c r="O155" s="27"/>
      <c r="P155" s="27"/>
      <c r="Q155" s="6"/>
      <c r="R155" s="129"/>
      <c r="S155" s="5"/>
      <c r="T155" s="129"/>
      <c r="U155" s="130"/>
      <c r="V155" s="5"/>
      <c r="W155" s="5"/>
      <c r="X155" s="130"/>
      <c r="Y155" s="129"/>
    </row>
    <row r="156" spans="1:25" ht="12.75">
      <c r="A156" s="26">
        <f t="shared" si="0"/>
        <v>147</v>
      </c>
      <c r="C156" s="26"/>
      <c r="I156" s="27"/>
      <c r="O156" s="27"/>
      <c r="P156" s="27"/>
      <c r="Q156" s="139"/>
      <c r="R156" s="133"/>
      <c r="S156" s="100"/>
      <c r="T156" s="133"/>
      <c r="U156" s="135"/>
      <c r="V156" s="100"/>
      <c r="W156" s="100"/>
      <c r="X156" s="135"/>
      <c r="Y156" s="133"/>
    </row>
    <row r="157" spans="1:25" ht="12.75">
      <c r="A157" s="26">
        <f t="shared" si="0"/>
        <v>148</v>
      </c>
      <c r="C157" s="26"/>
      <c r="I157" s="27"/>
      <c r="O157" s="27"/>
      <c r="P157" s="27"/>
      <c r="Q157" s="6"/>
      <c r="R157" s="129"/>
      <c r="S157" s="5"/>
      <c r="T157" s="129"/>
      <c r="U157" s="130"/>
      <c r="V157" s="5"/>
      <c r="W157" s="5"/>
      <c r="X157" s="130"/>
      <c r="Y157" s="129"/>
    </row>
    <row r="158" spans="1:25" ht="12.75">
      <c r="A158" s="26">
        <f t="shared" si="0"/>
        <v>149</v>
      </c>
      <c r="C158" s="26"/>
      <c r="I158" s="27"/>
      <c r="O158" s="27"/>
      <c r="P158" s="27"/>
      <c r="Q158" s="6"/>
      <c r="R158" s="129"/>
      <c r="S158" s="5"/>
      <c r="T158" s="129"/>
      <c r="U158" s="130"/>
      <c r="V158" s="5"/>
      <c r="W158" s="5"/>
      <c r="X158" s="130"/>
      <c r="Y158" s="129"/>
    </row>
    <row r="159" spans="1:25" ht="12.75">
      <c r="A159" s="26">
        <f t="shared" si="0"/>
        <v>150</v>
      </c>
      <c r="C159" s="26"/>
      <c r="I159" s="27"/>
      <c r="O159" s="27"/>
      <c r="P159" s="27"/>
      <c r="Q159" s="163"/>
      <c r="R159" s="133"/>
      <c r="S159" s="100"/>
      <c r="T159" s="134"/>
      <c r="U159" s="135"/>
      <c r="V159" s="100"/>
      <c r="W159" s="100"/>
      <c r="X159" s="135"/>
      <c r="Y159" s="133"/>
    </row>
    <row r="160" spans="1:25" ht="12.75">
      <c r="A160" s="26">
        <f t="shared" si="0"/>
        <v>151</v>
      </c>
      <c r="C160" s="26"/>
      <c r="I160" s="27"/>
      <c r="O160" s="27"/>
      <c r="P160" s="27"/>
      <c r="Q160" s="140"/>
      <c r="R160" s="129"/>
      <c r="S160" s="5"/>
      <c r="T160" s="129"/>
      <c r="U160" s="130"/>
      <c r="V160" s="5"/>
      <c r="W160" s="5"/>
      <c r="X160" s="130"/>
      <c r="Y160" s="129"/>
    </row>
    <row r="161" spans="1:25" ht="12.75">
      <c r="A161" s="26">
        <f t="shared" si="0"/>
        <v>152</v>
      </c>
      <c r="C161" s="26"/>
      <c r="I161" s="27"/>
      <c r="O161" s="27"/>
      <c r="P161" s="27"/>
      <c r="Q161" s="163"/>
      <c r="R161" s="133"/>
      <c r="S161" s="100"/>
      <c r="T161" s="133"/>
      <c r="U161" s="135"/>
      <c r="V161" s="100"/>
      <c r="W161" s="100"/>
      <c r="X161" s="135"/>
      <c r="Y161" s="133"/>
    </row>
    <row r="162" spans="1:25" ht="12.75">
      <c r="A162" s="26">
        <f t="shared" si="0"/>
        <v>153</v>
      </c>
      <c r="C162" s="26"/>
      <c r="I162" s="27"/>
      <c r="O162" s="27"/>
      <c r="P162" s="27"/>
      <c r="Q162" s="140"/>
      <c r="R162" s="129"/>
      <c r="S162" s="5"/>
      <c r="T162" s="129"/>
      <c r="U162" s="130"/>
      <c r="V162" s="5"/>
      <c r="W162" s="5"/>
      <c r="X162" s="130"/>
      <c r="Y162" s="129"/>
    </row>
    <row r="163" spans="1:25" ht="12.75">
      <c r="A163" s="26">
        <f t="shared" si="0"/>
        <v>154</v>
      </c>
      <c r="C163" s="26"/>
      <c r="D163" s="27"/>
      <c r="E163" s="28"/>
      <c r="F163" s="28"/>
      <c r="G163" s="28"/>
      <c r="H163" s="27"/>
      <c r="I163" s="27"/>
      <c r="O163" s="27"/>
      <c r="P163" s="27"/>
      <c r="Q163" s="6"/>
      <c r="R163" s="129"/>
      <c r="S163" s="5"/>
      <c r="T163" s="129"/>
      <c r="U163" s="130"/>
      <c r="V163" s="5"/>
      <c r="W163" s="5"/>
      <c r="X163" s="130"/>
      <c r="Y163" s="129"/>
    </row>
    <row r="164" spans="1:25" ht="12.75">
      <c r="A164" s="26">
        <f t="shared" si="0"/>
        <v>155</v>
      </c>
      <c r="C164" s="26"/>
      <c r="D164" s="27"/>
      <c r="E164" s="28"/>
      <c r="F164" s="28"/>
      <c r="G164" s="28"/>
      <c r="H164" s="27"/>
      <c r="I164" s="27"/>
      <c r="O164" s="27"/>
      <c r="P164" s="27"/>
      <c r="Q164" s="6"/>
      <c r="R164" s="129"/>
      <c r="S164" s="5"/>
      <c r="T164" s="129"/>
      <c r="U164" s="130"/>
      <c r="V164" s="5"/>
      <c r="W164" s="5"/>
      <c r="X164" s="130"/>
      <c r="Y164" s="129"/>
    </row>
    <row r="165" spans="1:25" ht="12.75">
      <c r="A165" s="26">
        <f t="shared" si="0"/>
        <v>156</v>
      </c>
      <c r="C165" s="26"/>
      <c r="D165" s="27"/>
      <c r="E165" s="28"/>
      <c r="F165" s="28"/>
      <c r="G165" s="28"/>
      <c r="H165" s="27"/>
      <c r="I165" s="27"/>
      <c r="O165" s="27"/>
      <c r="P165" s="27"/>
      <c r="Q165" s="6"/>
      <c r="R165" s="129"/>
      <c r="S165" s="5"/>
      <c r="T165" s="129"/>
      <c r="U165" s="130"/>
      <c r="V165" s="5"/>
      <c r="W165" s="5"/>
      <c r="X165" s="130"/>
      <c r="Y165" s="129"/>
    </row>
    <row r="166" spans="1:25" ht="12.75">
      <c r="A166" s="26">
        <f t="shared" si="0"/>
        <v>157</v>
      </c>
      <c r="C166" s="26"/>
      <c r="D166" s="27"/>
      <c r="E166" s="28"/>
      <c r="F166" s="28"/>
      <c r="G166" s="28"/>
      <c r="H166" s="27"/>
      <c r="I166" s="27"/>
      <c r="O166" s="27"/>
      <c r="P166" s="27"/>
      <c r="Q166" s="140"/>
      <c r="R166" s="129"/>
      <c r="S166" s="5"/>
      <c r="T166" s="129"/>
      <c r="U166" s="130"/>
      <c r="V166" s="5"/>
      <c r="W166" s="5"/>
      <c r="X166" s="130"/>
      <c r="Y166" s="129"/>
    </row>
    <row r="167" spans="1:25" ht="12.75">
      <c r="A167" s="26">
        <f t="shared" si="0"/>
        <v>158</v>
      </c>
      <c r="C167" s="26"/>
      <c r="D167" s="27"/>
      <c r="E167" s="28"/>
      <c r="F167" s="28"/>
      <c r="G167" s="28"/>
      <c r="H167" s="27"/>
      <c r="I167" s="27"/>
      <c r="O167" s="27"/>
      <c r="P167" s="27"/>
      <c r="Q167" s="6"/>
      <c r="R167" s="129"/>
      <c r="S167" s="5"/>
      <c r="T167" s="129"/>
      <c r="U167" s="130"/>
      <c r="V167" s="5"/>
      <c r="W167" s="5"/>
      <c r="X167" s="130"/>
      <c r="Y167" s="129"/>
    </row>
    <row r="168" spans="1:25" ht="12.75">
      <c r="A168" s="26">
        <f t="shared" si="0"/>
        <v>159</v>
      </c>
      <c r="C168" s="26"/>
      <c r="D168" s="27"/>
      <c r="E168" s="28"/>
      <c r="F168" s="28"/>
      <c r="G168" s="28"/>
      <c r="H168" s="27"/>
      <c r="I168" s="27"/>
      <c r="O168" s="27"/>
      <c r="P168" s="27"/>
      <c r="Q168" s="6"/>
      <c r="R168" s="129"/>
      <c r="S168" s="5"/>
      <c r="T168" s="129"/>
      <c r="U168" s="130"/>
      <c r="V168" s="5"/>
      <c r="W168" s="5"/>
      <c r="X168" s="130"/>
      <c r="Y168" s="129"/>
    </row>
    <row r="169" spans="1:25" ht="12.75">
      <c r="A169" s="26">
        <f t="shared" si="0"/>
        <v>160</v>
      </c>
      <c r="C169" s="26"/>
      <c r="D169" s="27"/>
      <c r="E169" s="28"/>
      <c r="F169" s="28"/>
      <c r="G169" s="28"/>
      <c r="H169" s="27"/>
      <c r="I169" s="27"/>
      <c r="O169" s="27"/>
      <c r="P169" s="27"/>
      <c r="Q169" s="140"/>
      <c r="R169" s="129"/>
      <c r="S169" s="5"/>
      <c r="T169" s="129"/>
      <c r="U169" s="130"/>
      <c r="V169" s="5"/>
      <c r="W169" s="5"/>
      <c r="X169" s="130"/>
      <c r="Y169" s="129"/>
    </row>
    <row r="170" spans="1:25" ht="12.75">
      <c r="A170" s="26">
        <f t="shared" si="0"/>
        <v>161</v>
      </c>
      <c r="C170" s="26"/>
      <c r="D170" s="27"/>
      <c r="E170" s="28"/>
      <c r="F170" s="28"/>
      <c r="G170" s="28"/>
      <c r="H170" s="27"/>
      <c r="I170" s="27"/>
      <c r="O170" s="27"/>
      <c r="P170" s="27"/>
      <c r="Q170" s="6"/>
      <c r="R170" s="129"/>
      <c r="S170" s="5"/>
      <c r="T170" s="129"/>
      <c r="U170" s="130"/>
      <c r="V170" s="5"/>
      <c r="W170" s="5"/>
      <c r="X170" s="130"/>
      <c r="Y170" s="129"/>
    </row>
    <row r="171" spans="1:25" ht="12.75">
      <c r="A171" s="26">
        <f t="shared" si="0"/>
        <v>162</v>
      </c>
      <c r="C171" s="26"/>
      <c r="D171" s="27"/>
      <c r="E171" s="28"/>
      <c r="F171" s="28"/>
      <c r="G171" s="28"/>
      <c r="H171" s="27"/>
      <c r="I171" s="27"/>
      <c r="O171" s="27"/>
      <c r="P171" s="27"/>
      <c r="Q171" s="6"/>
      <c r="R171" s="129"/>
      <c r="S171" s="5"/>
      <c r="T171" s="129"/>
      <c r="U171" s="130"/>
      <c r="V171" s="5"/>
      <c r="W171" s="5"/>
      <c r="X171" s="130"/>
      <c r="Y171" s="129"/>
    </row>
    <row r="172" spans="1:25" ht="12.75">
      <c r="A172" s="26">
        <f t="shared" si="0"/>
        <v>163</v>
      </c>
      <c r="C172" s="26"/>
      <c r="D172" s="27"/>
      <c r="E172" s="28"/>
      <c r="F172" s="28"/>
      <c r="G172" s="28"/>
      <c r="H172" s="27"/>
      <c r="I172" s="27"/>
      <c r="O172" s="27"/>
      <c r="P172" s="27"/>
      <c r="Q172" s="140"/>
      <c r="R172" s="129"/>
      <c r="S172" s="5"/>
      <c r="T172" s="129"/>
      <c r="U172" s="130"/>
      <c r="V172" s="5"/>
      <c r="W172" s="5"/>
      <c r="X172" s="130"/>
      <c r="Y172" s="129"/>
    </row>
    <row r="173" spans="1:25" ht="12.75">
      <c r="A173" s="26">
        <f t="shared" si="0"/>
        <v>164</v>
      </c>
      <c r="C173" s="26"/>
      <c r="D173" s="27"/>
      <c r="E173" s="28"/>
      <c r="F173" s="28"/>
      <c r="G173" s="28"/>
      <c r="H173" s="27"/>
      <c r="I173" s="27"/>
      <c r="O173" s="27"/>
      <c r="P173" s="27"/>
      <c r="Q173" s="6"/>
      <c r="R173" s="129"/>
      <c r="S173" s="5"/>
      <c r="T173" s="129"/>
      <c r="U173" s="130"/>
      <c r="V173" s="5"/>
      <c r="W173" s="5"/>
      <c r="X173" s="130"/>
      <c r="Y173" s="129"/>
    </row>
    <row r="174" spans="1:25" ht="12.75">
      <c r="A174" s="26">
        <f t="shared" si="0"/>
        <v>165</v>
      </c>
      <c r="C174" s="26"/>
      <c r="D174" s="27"/>
      <c r="E174" s="28"/>
      <c r="F174" s="28"/>
      <c r="G174" s="28"/>
      <c r="H174" s="27"/>
      <c r="I174" s="27"/>
      <c r="O174" s="27"/>
      <c r="P174" s="27"/>
      <c r="Q174" s="164"/>
      <c r="R174" s="129"/>
      <c r="S174" s="5"/>
      <c r="T174" s="129"/>
      <c r="U174" s="130"/>
      <c r="V174" s="5"/>
      <c r="W174" s="5"/>
      <c r="X174" s="130"/>
      <c r="Y174" s="129"/>
    </row>
    <row r="175" spans="1:25" ht="12.75">
      <c r="A175" s="26">
        <f t="shared" si="0"/>
        <v>166</v>
      </c>
      <c r="C175" s="26"/>
      <c r="D175" s="27"/>
      <c r="E175" s="28"/>
      <c r="F175" s="28"/>
      <c r="G175" s="28"/>
      <c r="H175" s="27"/>
      <c r="I175" s="27"/>
      <c r="O175" s="27"/>
      <c r="P175" s="27"/>
      <c r="Q175" s="140"/>
      <c r="R175" s="129"/>
      <c r="S175" s="5"/>
      <c r="T175" s="144"/>
      <c r="U175" s="130"/>
      <c r="V175" s="5"/>
      <c r="W175" s="5"/>
      <c r="X175" s="130"/>
      <c r="Y175" s="129"/>
    </row>
    <row r="176" spans="1:25" ht="12.75">
      <c r="A176" s="26">
        <f t="shared" si="0"/>
        <v>167</v>
      </c>
      <c r="C176" s="26"/>
      <c r="D176" s="27"/>
      <c r="E176" s="28"/>
      <c r="F176" s="28"/>
      <c r="G176" s="28"/>
      <c r="H176" s="27"/>
      <c r="I176" s="27"/>
      <c r="O176" s="27"/>
      <c r="P176" s="27"/>
      <c r="Q176" s="6"/>
      <c r="R176" s="129"/>
      <c r="S176" s="5"/>
      <c r="T176" s="129"/>
      <c r="U176" s="130"/>
      <c r="V176" s="5"/>
      <c r="W176" s="5"/>
      <c r="X176" s="130"/>
      <c r="Y176" s="129"/>
    </row>
    <row r="177" spans="1:25" ht="12.75">
      <c r="A177" s="26">
        <f t="shared" si="0"/>
        <v>168</v>
      </c>
      <c r="C177" s="26"/>
      <c r="D177" s="27"/>
      <c r="E177" s="28"/>
      <c r="F177" s="28"/>
      <c r="G177" s="28"/>
      <c r="H177" s="27"/>
      <c r="I177" s="27"/>
      <c r="J177" s="27"/>
      <c r="K177" s="28"/>
      <c r="L177" s="28"/>
      <c r="M177" s="28"/>
      <c r="N177" s="27"/>
      <c r="O177" s="27"/>
      <c r="P177" s="27"/>
      <c r="Q177" s="6"/>
      <c r="R177" s="129"/>
      <c r="S177" s="5"/>
      <c r="T177" s="129"/>
      <c r="U177" s="130"/>
      <c r="V177" s="5"/>
      <c r="W177" s="5"/>
      <c r="X177" s="130"/>
      <c r="Y177" s="129"/>
    </row>
    <row r="178" spans="1:25" ht="12.75">
      <c r="A178" s="26">
        <f t="shared" si="0"/>
        <v>169</v>
      </c>
      <c r="C178" s="26"/>
      <c r="D178" s="27"/>
      <c r="E178" s="28"/>
      <c r="F178" s="28"/>
      <c r="G178" s="28"/>
      <c r="H178" s="27"/>
      <c r="I178" s="27"/>
      <c r="O178" s="27"/>
      <c r="P178" s="27"/>
      <c r="Q178" s="6"/>
      <c r="R178" s="129"/>
      <c r="S178" s="5"/>
      <c r="T178" s="129"/>
      <c r="U178" s="130"/>
      <c r="V178" s="5"/>
      <c r="W178" s="5"/>
      <c r="X178" s="130"/>
      <c r="Y178" s="129"/>
    </row>
    <row r="179" spans="1:25" ht="12.75">
      <c r="A179" s="26">
        <f t="shared" si="0"/>
        <v>170</v>
      </c>
      <c r="C179" s="26"/>
      <c r="D179" s="27"/>
      <c r="E179" s="28"/>
      <c r="F179" s="28"/>
      <c r="G179" s="28"/>
      <c r="H179" s="27"/>
      <c r="I179" s="27"/>
      <c r="J179" s="27"/>
      <c r="K179" s="28"/>
      <c r="L179" s="28"/>
      <c r="M179" s="28"/>
      <c r="N179" s="27"/>
      <c r="O179" s="27"/>
      <c r="P179" s="27"/>
      <c r="Q179" s="6"/>
      <c r="R179" s="129"/>
      <c r="S179" s="5"/>
      <c r="T179" s="129"/>
      <c r="U179" s="130"/>
      <c r="V179" s="5"/>
      <c r="W179" s="5"/>
      <c r="X179" s="130"/>
      <c r="Y179" s="129"/>
    </row>
    <row r="180" spans="1:25" ht="12.75">
      <c r="A180" s="26">
        <f aca="true" t="shared" si="1" ref="A180:A243">A179+1</f>
        <v>171</v>
      </c>
      <c r="C180" s="26"/>
      <c r="D180" s="27"/>
      <c r="E180" s="28"/>
      <c r="F180" s="28"/>
      <c r="G180" s="28"/>
      <c r="H180" s="27"/>
      <c r="I180" s="27"/>
      <c r="J180" s="27"/>
      <c r="K180" s="28"/>
      <c r="L180" s="28"/>
      <c r="M180" s="28"/>
      <c r="N180" s="27"/>
      <c r="O180" s="27"/>
      <c r="P180" s="27"/>
      <c r="Q180" s="155"/>
      <c r="R180" s="129"/>
      <c r="S180" s="5"/>
      <c r="T180" s="129"/>
      <c r="U180" s="130"/>
      <c r="V180" s="5"/>
      <c r="W180" s="5"/>
      <c r="X180" s="130"/>
      <c r="Y180" s="129"/>
    </row>
    <row r="181" spans="1:25" ht="12.75">
      <c r="A181" s="26">
        <f t="shared" si="1"/>
        <v>172</v>
      </c>
      <c r="C181" s="26"/>
      <c r="D181" s="27"/>
      <c r="E181" s="28"/>
      <c r="F181" s="28"/>
      <c r="G181" s="28"/>
      <c r="H181" s="27"/>
      <c r="I181" s="27"/>
      <c r="J181" s="27"/>
      <c r="K181" s="28"/>
      <c r="L181" s="28"/>
      <c r="M181" s="28"/>
      <c r="N181" s="27"/>
      <c r="O181" s="27"/>
      <c r="P181" s="27"/>
      <c r="Q181" s="155"/>
      <c r="R181" s="129"/>
      <c r="S181" s="5"/>
      <c r="T181" s="129"/>
      <c r="U181" s="130"/>
      <c r="V181" s="5"/>
      <c r="W181" s="5"/>
      <c r="X181" s="130"/>
      <c r="Y181" s="129"/>
    </row>
    <row r="182" spans="1:25" ht="12.75">
      <c r="A182" s="26">
        <f t="shared" si="1"/>
        <v>173</v>
      </c>
      <c r="C182" s="26"/>
      <c r="D182" s="27"/>
      <c r="E182" s="28"/>
      <c r="F182" s="28"/>
      <c r="G182" s="28"/>
      <c r="H182" s="27"/>
      <c r="I182" s="27"/>
      <c r="J182" s="27"/>
      <c r="K182" s="28"/>
      <c r="L182" s="28"/>
      <c r="M182" s="28"/>
      <c r="N182" s="27"/>
      <c r="O182" s="27"/>
      <c r="P182" s="27"/>
      <c r="Q182" s="140"/>
      <c r="R182" s="129"/>
      <c r="S182" s="5"/>
      <c r="T182" s="129"/>
      <c r="U182" s="130"/>
      <c r="V182" s="5"/>
      <c r="W182" s="5"/>
      <c r="X182" s="130"/>
      <c r="Y182" s="129"/>
    </row>
    <row r="183" spans="1:25" ht="12.75">
      <c r="A183" s="26">
        <f t="shared" si="1"/>
        <v>174</v>
      </c>
      <c r="C183" s="26"/>
      <c r="I183" s="27"/>
      <c r="J183" s="27"/>
      <c r="K183" s="28"/>
      <c r="L183" s="28"/>
      <c r="M183" s="28"/>
      <c r="N183" s="27"/>
      <c r="O183" s="27"/>
      <c r="P183" s="27"/>
      <c r="Q183" s="140"/>
      <c r="R183" s="129"/>
      <c r="S183" s="5"/>
      <c r="T183" s="129"/>
      <c r="U183" s="130"/>
      <c r="V183" s="5"/>
      <c r="W183" s="5"/>
      <c r="X183" s="130"/>
      <c r="Y183" s="129"/>
    </row>
    <row r="184" spans="1:25" ht="12.75">
      <c r="A184" s="26">
        <f t="shared" si="1"/>
        <v>175</v>
      </c>
      <c r="C184" s="26"/>
      <c r="I184" s="27"/>
      <c r="J184" s="27"/>
      <c r="K184" s="28"/>
      <c r="L184" s="28"/>
      <c r="M184" s="28"/>
      <c r="N184" s="27"/>
      <c r="O184" s="27"/>
      <c r="P184" s="27"/>
      <c r="Q184" s="163"/>
      <c r="R184" s="133"/>
      <c r="S184" s="100"/>
      <c r="T184" s="134"/>
      <c r="U184" s="135"/>
      <c r="V184" s="100"/>
      <c r="W184" s="100"/>
      <c r="X184" s="135"/>
      <c r="Y184" s="133"/>
    </row>
    <row r="185" spans="1:25" ht="12.75">
      <c r="A185" s="26">
        <f t="shared" si="1"/>
        <v>176</v>
      </c>
      <c r="C185" s="26"/>
      <c r="I185" s="27"/>
      <c r="J185" s="27"/>
      <c r="K185" s="28"/>
      <c r="L185" s="28"/>
      <c r="M185" s="28"/>
      <c r="N185" s="27"/>
      <c r="O185" s="27"/>
      <c r="P185" s="27"/>
      <c r="Q185" s="140"/>
      <c r="R185" s="129"/>
      <c r="S185" s="5"/>
      <c r="T185" s="129"/>
      <c r="U185" s="130"/>
      <c r="V185" s="5"/>
      <c r="W185" s="5"/>
      <c r="X185" s="130"/>
      <c r="Y185" s="129"/>
    </row>
    <row r="186" spans="1:25" ht="12.75">
      <c r="A186" s="26">
        <f t="shared" si="1"/>
        <v>177</v>
      </c>
      <c r="C186" s="26"/>
      <c r="I186" s="27"/>
      <c r="J186" s="27"/>
      <c r="K186" s="28"/>
      <c r="L186" s="28"/>
      <c r="M186" s="28"/>
      <c r="N186" s="27"/>
      <c r="O186" s="27"/>
      <c r="P186" s="27"/>
      <c r="Q186" s="140"/>
      <c r="R186" s="129"/>
      <c r="S186" s="5"/>
      <c r="T186" s="129"/>
      <c r="U186" s="130"/>
      <c r="V186" s="5"/>
      <c r="W186" s="5"/>
      <c r="X186" s="130"/>
      <c r="Y186" s="129"/>
    </row>
    <row r="187" spans="1:25" ht="12.75">
      <c r="A187" s="26">
        <f t="shared" si="1"/>
        <v>178</v>
      </c>
      <c r="C187" s="26"/>
      <c r="I187" s="27"/>
      <c r="J187" s="27"/>
      <c r="K187" s="28"/>
      <c r="L187" s="28"/>
      <c r="M187" s="28"/>
      <c r="N187" s="27"/>
      <c r="O187" s="27"/>
      <c r="P187" s="27"/>
      <c r="Q187" s="6"/>
      <c r="R187" s="129"/>
      <c r="S187" s="5"/>
      <c r="T187" s="129"/>
      <c r="U187" s="130"/>
      <c r="V187" s="5"/>
      <c r="W187" s="5"/>
      <c r="X187" s="130"/>
      <c r="Y187" s="129"/>
    </row>
    <row r="188" spans="1:25" ht="12.75">
      <c r="A188" s="26">
        <f t="shared" si="1"/>
        <v>179</v>
      </c>
      <c r="C188" s="26"/>
      <c r="I188" s="27"/>
      <c r="J188" s="27"/>
      <c r="K188" s="28"/>
      <c r="L188" s="28"/>
      <c r="M188" s="28"/>
      <c r="N188" s="27"/>
      <c r="O188" s="27"/>
      <c r="P188" s="27"/>
      <c r="Q188" s="163"/>
      <c r="R188" s="133"/>
      <c r="S188" s="100"/>
      <c r="T188" s="134"/>
      <c r="U188" s="135"/>
      <c r="V188" s="100"/>
      <c r="W188" s="100"/>
      <c r="X188" s="135"/>
      <c r="Y188" s="133"/>
    </row>
    <row r="189" spans="1:25" ht="12.75">
      <c r="A189" s="26">
        <f t="shared" si="1"/>
        <v>180</v>
      </c>
      <c r="C189" s="26"/>
      <c r="I189" s="27"/>
      <c r="J189" s="27"/>
      <c r="K189" s="28"/>
      <c r="L189" s="28"/>
      <c r="M189" s="28"/>
      <c r="N189" s="27"/>
      <c r="O189" s="27"/>
      <c r="P189" s="27"/>
      <c r="Q189" s="163"/>
      <c r="R189" s="133"/>
      <c r="S189" s="100"/>
      <c r="T189" s="134"/>
      <c r="U189" s="135"/>
      <c r="V189" s="100"/>
      <c r="W189" s="100"/>
      <c r="X189" s="135"/>
      <c r="Y189" s="133"/>
    </row>
    <row r="190" spans="1:25" ht="12.75">
      <c r="A190" s="26">
        <f t="shared" si="1"/>
        <v>181</v>
      </c>
      <c r="C190" s="26"/>
      <c r="I190" s="27"/>
      <c r="J190" s="27"/>
      <c r="K190" s="28"/>
      <c r="L190" s="28"/>
      <c r="M190" s="28"/>
      <c r="N190" s="27"/>
      <c r="O190" s="27"/>
      <c r="P190" s="27"/>
      <c r="Q190" s="139"/>
      <c r="R190" s="133"/>
      <c r="S190" s="100"/>
      <c r="T190" s="134"/>
      <c r="U190" s="135"/>
      <c r="V190" s="100"/>
      <c r="W190" s="100"/>
      <c r="X190" s="135"/>
      <c r="Y190" s="133"/>
    </row>
    <row r="191" spans="1:25" ht="12.75">
      <c r="A191" s="26">
        <f t="shared" si="1"/>
        <v>182</v>
      </c>
      <c r="C191" s="26"/>
      <c r="I191" s="27"/>
      <c r="J191" s="27"/>
      <c r="K191" s="28"/>
      <c r="L191" s="28"/>
      <c r="M191" s="28"/>
      <c r="N191" s="27"/>
      <c r="O191" s="27"/>
      <c r="P191" s="27"/>
      <c r="Q191" s="139"/>
      <c r="R191" s="133"/>
      <c r="S191" s="100"/>
      <c r="T191" s="134"/>
      <c r="U191" s="135"/>
      <c r="V191" s="100"/>
      <c r="W191" s="100"/>
      <c r="X191" s="135"/>
      <c r="Y191" s="133"/>
    </row>
    <row r="192" spans="1:25" ht="12.75">
      <c r="A192" s="26">
        <f t="shared" si="1"/>
        <v>183</v>
      </c>
      <c r="C192" s="26"/>
      <c r="I192" s="27"/>
      <c r="J192" s="27"/>
      <c r="K192" s="28"/>
      <c r="L192" s="28"/>
      <c r="M192" s="28"/>
      <c r="N192" s="27"/>
      <c r="O192" s="27"/>
      <c r="P192" s="27"/>
      <c r="Q192" s="164"/>
      <c r="R192" s="129"/>
      <c r="S192" s="5"/>
      <c r="T192" s="129"/>
      <c r="U192" s="130"/>
      <c r="V192" s="5"/>
      <c r="W192" s="5"/>
      <c r="X192" s="130"/>
      <c r="Y192" s="129"/>
    </row>
    <row r="193" spans="1:25" ht="12.75">
      <c r="A193" s="26">
        <f t="shared" si="1"/>
        <v>184</v>
      </c>
      <c r="C193" s="26"/>
      <c r="I193" s="27"/>
      <c r="O193" s="27"/>
      <c r="P193" s="27"/>
      <c r="Q193" s="6"/>
      <c r="R193" s="129"/>
      <c r="S193" s="5"/>
      <c r="T193" s="129"/>
      <c r="U193" s="130"/>
      <c r="V193" s="5"/>
      <c r="W193" s="5"/>
      <c r="X193" s="130"/>
      <c r="Y193" s="129"/>
    </row>
    <row r="194" spans="1:25" ht="12.75">
      <c r="A194" s="26">
        <f t="shared" si="1"/>
        <v>185</v>
      </c>
      <c r="C194" s="26"/>
      <c r="I194" s="27"/>
      <c r="O194" s="27"/>
      <c r="P194" s="27"/>
      <c r="Q194" s="6"/>
      <c r="R194" s="129"/>
      <c r="S194" s="5"/>
      <c r="T194" s="129"/>
      <c r="U194" s="130"/>
      <c r="V194" s="5"/>
      <c r="W194" s="5"/>
      <c r="X194" s="130"/>
      <c r="Y194" s="129"/>
    </row>
    <row r="195" spans="1:25" ht="12.75">
      <c r="A195" s="26">
        <f t="shared" si="1"/>
        <v>186</v>
      </c>
      <c r="C195" s="26"/>
      <c r="I195" s="27"/>
      <c r="O195" s="27"/>
      <c r="P195" s="27"/>
      <c r="Q195" s="140"/>
      <c r="R195" s="129"/>
      <c r="S195" s="5"/>
      <c r="T195" s="129"/>
      <c r="U195" s="130"/>
      <c r="V195" s="5"/>
      <c r="W195" s="5"/>
      <c r="X195" s="130"/>
      <c r="Y195" s="129"/>
    </row>
    <row r="196" spans="1:25" ht="12.75">
      <c r="A196" s="26">
        <f t="shared" si="1"/>
        <v>187</v>
      </c>
      <c r="C196" s="26"/>
      <c r="I196" s="27"/>
      <c r="O196" s="27"/>
      <c r="P196" s="27"/>
      <c r="Q196" s="140"/>
      <c r="R196" s="129"/>
      <c r="S196" s="5"/>
      <c r="T196" s="144"/>
      <c r="U196" s="130"/>
      <c r="V196" s="5"/>
      <c r="W196" s="5"/>
      <c r="X196" s="130"/>
      <c r="Y196" s="129"/>
    </row>
    <row r="197" spans="1:25" ht="12.75">
      <c r="A197" s="26">
        <f t="shared" si="1"/>
        <v>188</v>
      </c>
      <c r="C197" s="26"/>
      <c r="I197" s="27"/>
      <c r="O197" s="27"/>
      <c r="P197" s="27"/>
      <c r="Q197" s="6"/>
      <c r="R197" s="129"/>
      <c r="S197" s="5"/>
      <c r="T197" s="129"/>
      <c r="U197" s="130"/>
      <c r="V197" s="5"/>
      <c r="W197" s="5"/>
      <c r="X197" s="130"/>
      <c r="Y197" s="129"/>
    </row>
    <row r="198" spans="1:25" ht="12.75">
      <c r="A198" s="26">
        <f t="shared" si="1"/>
        <v>189</v>
      </c>
      <c r="C198" s="26"/>
      <c r="I198" s="27"/>
      <c r="O198" s="27"/>
      <c r="P198" s="27"/>
      <c r="Q198" s="140"/>
      <c r="R198" s="129"/>
      <c r="S198" s="5"/>
      <c r="T198" s="129"/>
      <c r="U198" s="130"/>
      <c r="V198" s="5"/>
      <c r="W198" s="5"/>
      <c r="X198" s="130"/>
      <c r="Y198" s="129"/>
    </row>
    <row r="199" spans="1:25" ht="12.75">
      <c r="A199" s="26">
        <f t="shared" si="1"/>
        <v>190</v>
      </c>
      <c r="C199" s="26"/>
      <c r="I199" s="27"/>
      <c r="O199" s="27"/>
      <c r="P199" s="27"/>
      <c r="Q199" s="140"/>
      <c r="R199" s="129"/>
      <c r="S199" s="5"/>
      <c r="T199" s="129"/>
      <c r="U199" s="130"/>
      <c r="V199" s="5"/>
      <c r="W199" s="5"/>
      <c r="X199" s="130"/>
      <c r="Y199" s="129"/>
    </row>
    <row r="200" spans="1:25" ht="12.75">
      <c r="A200" s="26">
        <f t="shared" si="1"/>
        <v>191</v>
      </c>
      <c r="C200" s="26"/>
      <c r="I200" s="27"/>
      <c r="O200" s="27"/>
      <c r="P200" s="27"/>
      <c r="Q200" s="156"/>
      <c r="R200" s="133"/>
      <c r="S200" s="100"/>
      <c r="T200" s="133"/>
      <c r="U200" s="135"/>
      <c r="V200" s="100"/>
      <c r="W200" s="100"/>
      <c r="X200" s="135"/>
      <c r="Y200" s="133"/>
    </row>
    <row r="201" spans="1:25" ht="12.75">
      <c r="A201" s="26">
        <f t="shared" si="1"/>
        <v>192</v>
      </c>
      <c r="C201" s="26"/>
      <c r="I201" s="27"/>
      <c r="O201" s="27"/>
      <c r="P201" s="27"/>
      <c r="Q201" s="164"/>
      <c r="R201" s="129"/>
      <c r="S201" s="5"/>
      <c r="T201" s="129"/>
      <c r="U201" s="130"/>
      <c r="V201" s="5"/>
      <c r="W201" s="5"/>
      <c r="X201" s="130"/>
      <c r="Y201" s="129"/>
    </row>
    <row r="202" spans="1:25" ht="12.75">
      <c r="A202" s="26">
        <f t="shared" si="1"/>
        <v>193</v>
      </c>
      <c r="C202" s="26"/>
      <c r="I202" s="27"/>
      <c r="O202" s="27"/>
      <c r="P202" s="27"/>
      <c r="Q202" s="6"/>
      <c r="R202" s="129"/>
      <c r="S202" s="5"/>
      <c r="T202" s="129"/>
      <c r="U202" s="130"/>
      <c r="V202" s="5"/>
      <c r="W202" s="5"/>
      <c r="X202" s="130"/>
      <c r="Y202" s="129"/>
    </row>
    <row r="203" spans="1:25" ht="12.75">
      <c r="A203" s="26">
        <f t="shared" si="1"/>
        <v>194</v>
      </c>
      <c r="C203" s="26"/>
      <c r="I203" s="27"/>
      <c r="J203" s="27"/>
      <c r="K203" s="28"/>
      <c r="L203" s="28"/>
      <c r="M203" s="28"/>
      <c r="N203" s="27"/>
      <c r="O203" s="27"/>
      <c r="P203" s="27"/>
      <c r="Q203" s="164"/>
      <c r="R203" s="129"/>
      <c r="S203" s="5"/>
      <c r="T203" s="129"/>
      <c r="U203" s="130"/>
      <c r="V203" s="5"/>
      <c r="W203" s="5"/>
      <c r="X203" s="130"/>
      <c r="Y203" s="129"/>
    </row>
    <row r="204" spans="1:25" ht="12.75">
      <c r="A204" s="26">
        <f t="shared" si="1"/>
        <v>195</v>
      </c>
      <c r="C204" s="26"/>
      <c r="I204" s="27"/>
      <c r="O204" s="27"/>
      <c r="P204" s="27"/>
      <c r="Q204" s="6"/>
      <c r="R204" s="129"/>
      <c r="S204" s="5"/>
      <c r="T204" s="129"/>
      <c r="U204" s="130"/>
      <c r="V204" s="5"/>
      <c r="W204" s="5"/>
      <c r="X204" s="130"/>
      <c r="Y204" s="129"/>
    </row>
    <row r="205" spans="1:25" ht="12.75">
      <c r="A205" s="26">
        <f t="shared" si="1"/>
        <v>196</v>
      </c>
      <c r="C205" s="26"/>
      <c r="I205" s="27"/>
      <c r="O205" s="27"/>
      <c r="P205" s="27"/>
      <c r="Q205" s="140"/>
      <c r="R205" s="129"/>
      <c r="S205" s="5"/>
      <c r="T205" s="129"/>
      <c r="U205" s="130"/>
      <c r="V205" s="5"/>
      <c r="W205" s="5"/>
      <c r="X205" s="130"/>
      <c r="Y205" s="129"/>
    </row>
    <row r="206" spans="1:25" ht="12.75">
      <c r="A206" s="26">
        <f t="shared" si="1"/>
        <v>197</v>
      </c>
      <c r="C206" s="26"/>
      <c r="I206" s="27"/>
      <c r="O206" s="27"/>
      <c r="P206" s="27"/>
      <c r="Q206" s="139"/>
      <c r="R206" s="133"/>
      <c r="S206" s="100"/>
      <c r="T206" s="133"/>
      <c r="U206" s="135"/>
      <c r="V206" s="100"/>
      <c r="W206" s="100"/>
      <c r="X206" s="135"/>
      <c r="Y206" s="133"/>
    </row>
    <row r="207" spans="1:25" ht="12.75">
      <c r="A207" s="26">
        <f t="shared" si="1"/>
        <v>198</v>
      </c>
      <c r="C207" s="26"/>
      <c r="I207" s="27"/>
      <c r="J207" s="27"/>
      <c r="K207" s="28"/>
      <c r="L207" s="28"/>
      <c r="M207" s="28"/>
      <c r="N207" s="27"/>
      <c r="O207" s="27"/>
      <c r="P207" s="27"/>
      <c r="Q207" s="6"/>
      <c r="R207" s="129"/>
      <c r="S207" s="5"/>
      <c r="T207" s="129"/>
      <c r="U207" s="130"/>
      <c r="V207" s="5"/>
      <c r="W207" s="5"/>
      <c r="X207" s="130"/>
      <c r="Y207" s="129"/>
    </row>
    <row r="208" spans="1:25" ht="12.75">
      <c r="A208" s="26">
        <f t="shared" si="1"/>
        <v>199</v>
      </c>
      <c r="C208" s="26"/>
      <c r="I208" s="27"/>
      <c r="J208" s="27"/>
      <c r="K208" s="28"/>
      <c r="L208" s="28"/>
      <c r="M208" s="28"/>
      <c r="N208" s="27"/>
      <c r="O208" s="27"/>
      <c r="P208" s="27"/>
      <c r="Q208" s="6"/>
      <c r="R208" s="129"/>
      <c r="S208" s="5"/>
      <c r="T208" s="129"/>
      <c r="U208" s="130"/>
      <c r="V208" s="5"/>
      <c r="W208" s="5"/>
      <c r="X208" s="130"/>
      <c r="Y208" s="129"/>
    </row>
    <row r="209" spans="1:25" ht="12.75">
      <c r="A209" s="26">
        <f t="shared" si="1"/>
        <v>200</v>
      </c>
      <c r="C209" s="26"/>
      <c r="I209" s="27"/>
      <c r="J209" s="27"/>
      <c r="K209" s="28"/>
      <c r="L209" s="28"/>
      <c r="M209" s="28"/>
      <c r="N209" s="27"/>
      <c r="O209" s="27"/>
      <c r="P209" s="27"/>
      <c r="Q209" s="140"/>
      <c r="R209" s="129"/>
      <c r="S209" s="5"/>
      <c r="T209" s="129"/>
      <c r="U209" s="130"/>
      <c r="V209" s="5"/>
      <c r="W209" s="5"/>
      <c r="X209" s="130"/>
      <c r="Y209" s="129"/>
    </row>
    <row r="210" spans="1:25" ht="12.75">
      <c r="A210" s="26">
        <f t="shared" si="1"/>
        <v>201</v>
      </c>
      <c r="C210" s="26"/>
      <c r="I210" s="27"/>
      <c r="J210" s="27"/>
      <c r="K210" s="28"/>
      <c r="L210" s="28"/>
      <c r="M210" s="28"/>
      <c r="N210" s="27"/>
      <c r="O210" s="27"/>
      <c r="P210" s="27"/>
      <c r="Q210" s="6"/>
      <c r="R210" s="129"/>
      <c r="S210" s="5"/>
      <c r="T210" s="129"/>
      <c r="U210" s="130"/>
      <c r="V210" s="5"/>
      <c r="W210" s="5"/>
      <c r="X210" s="130"/>
      <c r="Y210" s="129"/>
    </row>
    <row r="211" spans="1:25" ht="12.75">
      <c r="A211" s="26">
        <f t="shared" si="1"/>
        <v>202</v>
      </c>
      <c r="C211" s="26"/>
      <c r="I211" s="27"/>
      <c r="J211" s="27"/>
      <c r="K211" s="28"/>
      <c r="L211" s="28"/>
      <c r="M211" s="28"/>
      <c r="N211" s="27"/>
      <c r="O211" s="27"/>
      <c r="P211" s="27"/>
      <c r="Q211" s="164"/>
      <c r="R211" s="129"/>
      <c r="S211" s="5"/>
      <c r="T211" s="129"/>
      <c r="U211" s="130"/>
      <c r="V211" s="5"/>
      <c r="W211" s="5"/>
      <c r="X211" s="130"/>
      <c r="Y211" s="129"/>
    </row>
    <row r="212" spans="1:25" ht="12.75">
      <c r="A212" s="26">
        <f t="shared" si="1"/>
        <v>203</v>
      </c>
      <c r="C212" s="26"/>
      <c r="I212" s="27"/>
      <c r="J212" s="27"/>
      <c r="K212" s="28"/>
      <c r="L212" s="28"/>
      <c r="M212" s="28"/>
      <c r="N212" s="27"/>
      <c r="O212" s="27"/>
      <c r="P212" s="27"/>
      <c r="Q212" s="6"/>
      <c r="R212" s="129"/>
      <c r="S212" s="5"/>
      <c r="T212" s="129"/>
      <c r="U212" s="130"/>
      <c r="V212" s="5"/>
      <c r="W212" s="5"/>
      <c r="X212" s="130"/>
      <c r="Y212" s="129"/>
    </row>
    <row r="213" spans="1:25" ht="12.75">
      <c r="A213" s="26">
        <f t="shared" si="1"/>
        <v>204</v>
      </c>
      <c r="C213" s="26"/>
      <c r="I213" s="27"/>
      <c r="J213" s="27"/>
      <c r="K213" s="28"/>
      <c r="L213" s="28"/>
      <c r="M213" s="28"/>
      <c r="N213" s="27"/>
      <c r="O213" s="27"/>
      <c r="P213" s="27"/>
      <c r="R213" s="134"/>
      <c r="S213" s="1"/>
      <c r="T213" s="134"/>
      <c r="U213" s="146"/>
      <c r="V213" s="1"/>
      <c r="W213" s="1"/>
      <c r="X213" s="146"/>
      <c r="Y213" s="134"/>
    </row>
    <row r="214" spans="1:25" ht="12.75">
      <c r="A214" s="26">
        <f t="shared" si="1"/>
        <v>205</v>
      </c>
      <c r="C214" s="26"/>
      <c r="I214" s="27"/>
      <c r="J214" s="27"/>
      <c r="K214" s="28"/>
      <c r="L214" s="28"/>
      <c r="M214" s="28"/>
      <c r="N214" s="27"/>
      <c r="O214" s="27"/>
      <c r="P214" s="27"/>
      <c r="R214" s="134"/>
      <c r="S214" s="1"/>
      <c r="T214" s="134"/>
      <c r="U214" s="146"/>
      <c r="V214" s="1"/>
      <c r="W214" s="1"/>
      <c r="X214" s="146"/>
      <c r="Y214" s="134"/>
    </row>
    <row r="215" spans="1:25" ht="12.75">
      <c r="A215" s="26">
        <f t="shared" si="1"/>
        <v>206</v>
      </c>
      <c r="C215" s="26"/>
      <c r="I215" s="27"/>
      <c r="J215" s="27"/>
      <c r="K215" s="28"/>
      <c r="L215" s="28"/>
      <c r="M215" s="28"/>
      <c r="N215" s="27"/>
      <c r="O215" s="27"/>
      <c r="P215" s="27"/>
      <c r="Q215" s="6"/>
      <c r="R215" s="129"/>
      <c r="S215" s="5"/>
      <c r="T215" s="129"/>
      <c r="U215" s="130"/>
      <c r="V215" s="5"/>
      <c r="W215" s="5"/>
      <c r="X215" s="130"/>
      <c r="Y215" s="129"/>
    </row>
    <row r="216" spans="1:25" ht="12.75">
      <c r="A216" s="26">
        <f t="shared" si="1"/>
        <v>207</v>
      </c>
      <c r="C216" s="26"/>
      <c r="I216" s="27"/>
      <c r="J216" s="27"/>
      <c r="K216" s="28"/>
      <c r="L216" s="28"/>
      <c r="M216" s="28"/>
      <c r="N216" s="27"/>
      <c r="O216" s="27"/>
      <c r="P216" s="27"/>
      <c r="Q216" s="164"/>
      <c r="R216" s="129"/>
      <c r="S216" s="5"/>
      <c r="T216" s="129"/>
      <c r="U216" s="130"/>
      <c r="V216" s="5"/>
      <c r="W216" s="5"/>
      <c r="X216" s="130"/>
      <c r="Y216" s="129"/>
    </row>
    <row r="217" spans="1:25" ht="12.75">
      <c r="A217" s="26">
        <f t="shared" si="1"/>
        <v>208</v>
      </c>
      <c r="C217" s="26"/>
      <c r="I217" s="27"/>
      <c r="J217" s="27"/>
      <c r="K217" s="28"/>
      <c r="L217" s="28"/>
      <c r="M217" s="28"/>
      <c r="N217" s="27"/>
      <c r="O217" s="27"/>
      <c r="P217" s="27"/>
      <c r="Q217" s="139"/>
      <c r="R217" s="133"/>
      <c r="S217" s="100"/>
      <c r="T217" s="133"/>
      <c r="U217" s="135"/>
      <c r="V217" s="100"/>
      <c r="W217" s="100"/>
      <c r="X217" s="135"/>
      <c r="Y217" s="133"/>
    </row>
    <row r="218" spans="1:25" ht="12.75">
      <c r="A218" s="26">
        <f t="shared" si="1"/>
        <v>209</v>
      </c>
      <c r="C218" s="26"/>
      <c r="I218" s="27"/>
      <c r="J218" s="27"/>
      <c r="K218" s="28"/>
      <c r="L218" s="28"/>
      <c r="M218" s="28"/>
      <c r="N218" s="27"/>
      <c r="O218" s="27"/>
      <c r="P218" s="27"/>
      <c r="Q218" s="139"/>
      <c r="R218" s="133"/>
      <c r="S218" s="100"/>
      <c r="T218" s="133"/>
      <c r="U218" s="135"/>
      <c r="V218" s="100"/>
      <c r="W218" s="100"/>
      <c r="X218" s="135"/>
      <c r="Y218" s="133"/>
    </row>
    <row r="219" spans="1:25" ht="12.75">
      <c r="A219" s="26">
        <f t="shared" si="1"/>
        <v>210</v>
      </c>
      <c r="C219" s="26"/>
      <c r="I219" s="27"/>
      <c r="J219" s="27"/>
      <c r="K219" s="28"/>
      <c r="L219" s="28"/>
      <c r="M219" s="28"/>
      <c r="N219" s="27"/>
      <c r="O219" s="27"/>
      <c r="P219" s="27"/>
      <c r="Q219" s="30"/>
      <c r="R219" s="134"/>
      <c r="S219" s="1"/>
      <c r="T219" s="134"/>
      <c r="U219" s="146"/>
      <c r="V219" s="1"/>
      <c r="W219" s="1"/>
      <c r="X219" s="146"/>
      <c r="Y219" s="134"/>
    </row>
    <row r="220" spans="1:25" ht="12.75">
      <c r="A220" s="26">
        <f t="shared" si="1"/>
        <v>211</v>
      </c>
      <c r="C220" s="26"/>
      <c r="I220" s="27"/>
      <c r="J220" s="27"/>
      <c r="K220" s="28"/>
      <c r="L220" s="28"/>
      <c r="M220" s="28"/>
      <c r="N220" s="27"/>
      <c r="O220" s="27"/>
      <c r="P220" s="27"/>
      <c r="Q220" s="164"/>
      <c r="R220" s="129"/>
      <c r="S220" s="5"/>
      <c r="T220" s="129"/>
      <c r="U220" s="130"/>
      <c r="V220" s="5"/>
      <c r="W220" s="5"/>
      <c r="X220" s="130"/>
      <c r="Y220" s="129"/>
    </row>
    <row r="221" spans="1:25" ht="12.75">
      <c r="A221" s="26">
        <f t="shared" si="1"/>
        <v>212</v>
      </c>
      <c r="C221" s="26"/>
      <c r="I221" s="27"/>
      <c r="J221" s="27"/>
      <c r="K221" s="28"/>
      <c r="L221" s="28"/>
      <c r="M221" s="28"/>
      <c r="N221" s="27"/>
      <c r="O221" s="27"/>
      <c r="P221" s="27"/>
      <c r="Q221" s="6"/>
      <c r="R221" s="129"/>
      <c r="S221" s="5"/>
      <c r="T221" s="129"/>
      <c r="U221" s="130"/>
      <c r="V221" s="5"/>
      <c r="W221" s="5"/>
      <c r="X221" s="130"/>
      <c r="Y221" s="129"/>
    </row>
    <row r="222" spans="1:25" ht="12.75">
      <c r="A222" s="26">
        <f t="shared" si="1"/>
        <v>213</v>
      </c>
      <c r="C222" s="26"/>
      <c r="I222" s="27"/>
      <c r="J222" s="27"/>
      <c r="K222" s="28"/>
      <c r="L222" s="28"/>
      <c r="M222" s="28"/>
      <c r="N222" s="27"/>
      <c r="O222" s="27"/>
      <c r="P222" s="27"/>
      <c r="Q222" s="163"/>
      <c r="R222" s="133"/>
      <c r="S222" s="100"/>
      <c r="T222" s="134"/>
      <c r="U222" s="135"/>
      <c r="V222" s="100"/>
      <c r="W222" s="100"/>
      <c r="X222" s="135"/>
      <c r="Y222" s="133"/>
    </row>
    <row r="223" spans="1:25" ht="12.75">
      <c r="A223" s="26">
        <f t="shared" si="1"/>
        <v>214</v>
      </c>
      <c r="C223" s="26"/>
      <c r="I223" s="27"/>
      <c r="J223" s="27"/>
      <c r="K223" s="28"/>
      <c r="L223" s="28"/>
      <c r="M223" s="28"/>
      <c r="N223" s="27"/>
      <c r="O223" s="27"/>
      <c r="P223" s="27"/>
      <c r="Q223" s="139"/>
      <c r="R223" s="133"/>
      <c r="S223" s="100"/>
      <c r="T223" s="133"/>
      <c r="U223" s="135"/>
      <c r="V223" s="100"/>
      <c r="W223" s="100"/>
      <c r="X223" s="135"/>
      <c r="Y223" s="133"/>
    </row>
    <row r="224" spans="1:25" ht="12.75">
      <c r="A224" s="26">
        <f t="shared" si="1"/>
        <v>215</v>
      </c>
      <c r="C224" s="26"/>
      <c r="I224" s="27"/>
      <c r="J224" s="27"/>
      <c r="K224" s="28"/>
      <c r="L224" s="28"/>
      <c r="M224" s="28"/>
      <c r="N224" s="27"/>
      <c r="O224" s="27"/>
      <c r="P224" s="27"/>
      <c r="Q224" s="163"/>
      <c r="R224" s="133"/>
      <c r="S224" s="100"/>
      <c r="T224" s="134"/>
      <c r="U224" s="135"/>
      <c r="V224" s="100"/>
      <c r="W224" s="100"/>
      <c r="X224" s="135"/>
      <c r="Y224" s="133"/>
    </row>
    <row r="225" spans="1:25" ht="12.75">
      <c r="A225" s="26">
        <f t="shared" si="1"/>
        <v>216</v>
      </c>
      <c r="C225" s="26"/>
      <c r="I225" s="27"/>
      <c r="J225" s="27"/>
      <c r="K225" s="28"/>
      <c r="L225" s="28"/>
      <c r="M225" s="28"/>
      <c r="N225" s="27"/>
      <c r="O225" s="27"/>
      <c r="P225" s="27"/>
      <c r="Q225" s="6"/>
      <c r="R225" s="129"/>
      <c r="S225" s="5"/>
      <c r="T225" s="129"/>
      <c r="U225" s="130"/>
      <c r="V225" s="5"/>
      <c r="W225" s="5"/>
      <c r="X225" s="130"/>
      <c r="Y225" s="129"/>
    </row>
    <row r="226" spans="1:25" ht="12.75">
      <c r="A226" s="26">
        <f t="shared" si="1"/>
        <v>217</v>
      </c>
      <c r="C226" s="26"/>
      <c r="I226" s="27"/>
      <c r="J226" s="27"/>
      <c r="K226" s="28"/>
      <c r="L226" s="28"/>
      <c r="M226" s="28"/>
      <c r="N226" s="27"/>
      <c r="O226" s="27"/>
      <c r="P226" s="27"/>
      <c r="Q226" s="6"/>
      <c r="R226" s="129"/>
      <c r="S226" s="5"/>
      <c r="T226" s="129"/>
      <c r="U226" s="130"/>
      <c r="V226" s="5"/>
      <c r="W226" s="5"/>
      <c r="X226" s="130"/>
      <c r="Y226" s="129"/>
    </row>
    <row r="227" spans="1:25" ht="12.75">
      <c r="A227" s="26">
        <f t="shared" si="1"/>
        <v>218</v>
      </c>
      <c r="C227" s="26"/>
      <c r="I227" s="27"/>
      <c r="J227" s="27"/>
      <c r="K227" s="28"/>
      <c r="L227" s="28"/>
      <c r="M227" s="28"/>
      <c r="N227" s="27"/>
      <c r="O227" s="27"/>
      <c r="P227" s="27"/>
      <c r="Q227" s="163"/>
      <c r="R227" s="133"/>
      <c r="S227" s="100"/>
      <c r="T227" s="133"/>
      <c r="U227" s="135"/>
      <c r="V227" s="100"/>
      <c r="W227" s="100"/>
      <c r="X227" s="135"/>
      <c r="Y227" s="133"/>
    </row>
    <row r="228" spans="1:25" ht="12.75">
      <c r="A228" s="26">
        <f t="shared" si="1"/>
        <v>219</v>
      </c>
      <c r="C228" s="26"/>
      <c r="I228" s="27"/>
      <c r="J228" s="27"/>
      <c r="K228" s="28"/>
      <c r="L228" s="28"/>
      <c r="M228" s="28"/>
      <c r="N228" s="27"/>
      <c r="O228" s="27"/>
      <c r="P228" s="27"/>
      <c r="Q228" s="140"/>
      <c r="R228" s="129"/>
      <c r="S228" s="5"/>
      <c r="T228" s="129"/>
      <c r="U228" s="130"/>
      <c r="V228" s="5"/>
      <c r="W228" s="5"/>
      <c r="X228" s="130"/>
      <c r="Y228" s="129"/>
    </row>
    <row r="229" spans="1:25" ht="12.75">
      <c r="A229" s="26">
        <f t="shared" si="1"/>
        <v>220</v>
      </c>
      <c r="C229" s="26"/>
      <c r="I229" s="27"/>
      <c r="J229" s="27"/>
      <c r="K229" s="28"/>
      <c r="L229" s="28"/>
      <c r="M229" s="28"/>
      <c r="N229" s="27"/>
      <c r="O229" s="27"/>
      <c r="P229" s="27"/>
      <c r="Q229" s="140"/>
      <c r="R229" s="129"/>
      <c r="S229" s="5"/>
      <c r="T229" s="129"/>
      <c r="U229" s="130"/>
      <c r="V229" s="5"/>
      <c r="W229" s="5"/>
      <c r="X229" s="130"/>
      <c r="Y229" s="129"/>
    </row>
    <row r="230" spans="1:24" ht="12.75">
      <c r="A230" s="26">
        <f t="shared" si="1"/>
        <v>221</v>
      </c>
      <c r="C230" s="26"/>
      <c r="I230" s="27"/>
      <c r="J230" s="27"/>
      <c r="K230" s="28"/>
      <c r="L230" s="28"/>
      <c r="M230" s="28"/>
      <c r="N230" s="27"/>
      <c r="O230" s="27"/>
      <c r="P230" s="27"/>
      <c r="Q230" s="30"/>
      <c r="R230" s="134"/>
      <c r="S230" s="1"/>
      <c r="T230" s="134"/>
      <c r="U230" s="146"/>
      <c r="V230" s="1"/>
      <c r="W230" s="1"/>
      <c r="X230" s="146"/>
    </row>
    <row r="231" spans="1:25" ht="12.75">
      <c r="A231" s="26">
        <f t="shared" si="1"/>
        <v>222</v>
      </c>
      <c r="C231" s="26"/>
      <c r="I231" s="27"/>
      <c r="J231" s="27"/>
      <c r="K231" s="28"/>
      <c r="L231" s="28"/>
      <c r="M231" s="28"/>
      <c r="N231" s="27"/>
      <c r="O231" s="27"/>
      <c r="P231" s="27"/>
      <c r="Q231" s="30"/>
      <c r="R231" s="134"/>
      <c r="S231" s="1"/>
      <c r="T231" s="134"/>
      <c r="U231" s="146"/>
      <c r="V231" s="1"/>
      <c r="W231" s="1"/>
      <c r="X231" s="146"/>
      <c r="Y231" s="134"/>
    </row>
    <row r="232" spans="1:25" ht="12.75">
      <c r="A232" s="26">
        <f t="shared" si="1"/>
        <v>223</v>
      </c>
      <c r="C232" s="26"/>
      <c r="I232" s="27"/>
      <c r="J232" s="27"/>
      <c r="K232" s="28"/>
      <c r="L232" s="28"/>
      <c r="M232" s="28"/>
      <c r="N232" s="27"/>
      <c r="O232" s="27"/>
      <c r="P232" s="27"/>
      <c r="Q232" s="6"/>
      <c r="R232" s="129"/>
      <c r="S232" s="5"/>
      <c r="T232" s="129"/>
      <c r="U232" s="130"/>
      <c r="V232" s="5"/>
      <c r="W232" s="5"/>
      <c r="X232" s="130"/>
      <c r="Y232" s="129"/>
    </row>
    <row r="233" spans="1:25" ht="12.75">
      <c r="A233" s="26">
        <f t="shared" si="1"/>
        <v>224</v>
      </c>
      <c r="C233" s="26"/>
      <c r="I233" s="27"/>
      <c r="J233" s="27"/>
      <c r="K233" s="28"/>
      <c r="L233" s="28"/>
      <c r="M233" s="28"/>
      <c r="N233" s="27"/>
      <c r="O233" s="27"/>
      <c r="P233" s="27"/>
      <c r="Q233" s="140"/>
      <c r="R233" s="129"/>
      <c r="S233" s="5"/>
      <c r="T233" s="129"/>
      <c r="U233" s="130"/>
      <c r="V233" s="5"/>
      <c r="W233" s="5"/>
      <c r="X233" s="130"/>
      <c r="Y233" s="129"/>
    </row>
    <row r="234" spans="1:25" ht="12.75">
      <c r="A234" s="26">
        <f t="shared" si="1"/>
        <v>225</v>
      </c>
      <c r="C234" s="26"/>
      <c r="I234" s="27"/>
      <c r="J234" s="27"/>
      <c r="K234" s="28"/>
      <c r="L234" s="28"/>
      <c r="M234" s="28"/>
      <c r="N234" s="27"/>
      <c r="O234" s="27"/>
      <c r="P234" s="27"/>
      <c r="Q234" s="164"/>
      <c r="R234" s="129"/>
      <c r="S234" s="5"/>
      <c r="T234" s="129"/>
      <c r="U234" s="130"/>
      <c r="V234" s="5"/>
      <c r="W234" s="5"/>
      <c r="X234" s="130"/>
      <c r="Y234" s="129"/>
    </row>
    <row r="235" spans="1:25" ht="12.75">
      <c r="A235" s="26">
        <f t="shared" si="1"/>
        <v>226</v>
      </c>
      <c r="C235" s="26"/>
      <c r="I235" s="27"/>
      <c r="J235" s="27"/>
      <c r="K235" s="28"/>
      <c r="L235" s="28"/>
      <c r="M235" s="28"/>
      <c r="N235" s="27"/>
      <c r="O235" s="27"/>
      <c r="P235" s="27"/>
      <c r="R235" s="134"/>
      <c r="S235" s="1"/>
      <c r="T235" s="134"/>
      <c r="U235" s="146"/>
      <c r="V235" s="1"/>
      <c r="W235" s="1"/>
      <c r="X235" s="146"/>
      <c r="Y235" s="134"/>
    </row>
    <row r="236" spans="1:25" ht="12.75">
      <c r="A236" s="26">
        <f t="shared" si="1"/>
        <v>227</v>
      </c>
      <c r="C236" s="26"/>
      <c r="I236" s="27"/>
      <c r="J236" s="27"/>
      <c r="K236" s="28"/>
      <c r="L236" s="28"/>
      <c r="M236" s="28"/>
      <c r="N236" s="27"/>
      <c r="O236" s="27"/>
      <c r="P236" s="27"/>
      <c r="Q236" s="6"/>
      <c r="R236" s="129"/>
      <c r="S236" s="5"/>
      <c r="T236" s="129"/>
      <c r="U236" s="130"/>
      <c r="V236" s="5"/>
      <c r="W236" s="5"/>
      <c r="X236" s="130"/>
      <c r="Y236" s="129"/>
    </row>
    <row r="237" spans="1:25" ht="12.75">
      <c r="A237" s="26">
        <f t="shared" si="1"/>
        <v>228</v>
      </c>
      <c r="C237" s="26"/>
      <c r="I237" s="27"/>
      <c r="J237" s="27"/>
      <c r="K237" s="28"/>
      <c r="L237" s="28"/>
      <c r="M237" s="28"/>
      <c r="N237" s="27"/>
      <c r="O237" s="27"/>
      <c r="P237" s="27"/>
      <c r="Q237" s="140"/>
      <c r="R237" s="129"/>
      <c r="S237" s="5"/>
      <c r="T237" s="129"/>
      <c r="U237" s="130"/>
      <c r="V237" s="5"/>
      <c r="W237" s="5"/>
      <c r="X237" s="130"/>
      <c r="Y237" s="129"/>
    </row>
    <row r="238" spans="1:25" ht="12.75">
      <c r="A238" s="26">
        <f t="shared" si="1"/>
        <v>229</v>
      </c>
      <c r="C238" s="26"/>
      <c r="I238" s="27"/>
      <c r="J238" s="27"/>
      <c r="K238" s="28"/>
      <c r="L238" s="28"/>
      <c r="M238" s="28"/>
      <c r="N238" s="27"/>
      <c r="O238" s="27"/>
      <c r="P238" s="27"/>
      <c r="Q238" s="140"/>
      <c r="R238" s="129"/>
      <c r="S238" s="5"/>
      <c r="T238" s="129"/>
      <c r="U238" s="130"/>
      <c r="V238" s="5"/>
      <c r="W238" s="5"/>
      <c r="X238" s="130"/>
      <c r="Y238" s="129"/>
    </row>
    <row r="239" spans="1:25" ht="12.75">
      <c r="A239" s="26">
        <f t="shared" si="1"/>
        <v>230</v>
      </c>
      <c r="C239" s="26"/>
      <c r="I239" s="27"/>
      <c r="O239" s="27"/>
      <c r="P239" s="27"/>
      <c r="Q239" s="140"/>
      <c r="R239" s="129"/>
      <c r="S239" s="5"/>
      <c r="T239" s="129"/>
      <c r="U239" s="130"/>
      <c r="V239" s="5"/>
      <c r="W239" s="5"/>
      <c r="X239" s="130"/>
      <c r="Y239" s="129"/>
    </row>
    <row r="240" spans="1:25" ht="12.75">
      <c r="A240" s="26">
        <f t="shared" si="1"/>
        <v>231</v>
      </c>
      <c r="C240" s="26"/>
      <c r="I240" s="27"/>
      <c r="O240" s="27"/>
      <c r="P240" s="27"/>
      <c r="Q240" s="140"/>
      <c r="R240" s="129"/>
      <c r="S240" s="5"/>
      <c r="T240" s="129"/>
      <c r="U240" s="130"/>
      <c r="V240" s="5"/>
      <c r="W240" s="5"/>
      <c r="X240" s="130"/>
      <c r="Y240" s="129"/>
    </row>
    <row r="241" spans="1:25" ht="12.75">
      <c r="A241" s="26">
        <f t="shared" si="1"/>
        <v>232</v>
      </c>
      <c r="C241" s="26"/>
      <c r="I241" s="27"/>
      <c r="O241" s="27"/>
      <c r="P241" s="27"/>
      <c r="Q241" s="140"/>
      <c r="R241" s="129"/>
      <c r="S241" s="5"/>
      <c r="T241" s="129"/>
      <c r="U241" s="130"/>
      <c r="V241" s="5"/>
      <c r="W241" s="5"/>
      <c r="X241" s="130"/>
      <c r="Y241" s="129"/>
    </row>
    <row r="242" spans="1:25" ht="12.75">
      <c r="A242" s="26">
        <f t="shared" si="1"/>
        <v>233</v>
      </c>
      <c r="C242" s="26"/>
      <c r="I242" s="27"/>
      <c r="O242" s="27"/>
      <c r="P242" s="27"/>
      <c r="R242" s="134"/>
      <c r="S242" s="1"/>
      <c r="T242" s="134"/>
      <c r="U242" s="146"/>
      <c r="V242" s="1"/>
      <c r="W242" s="1"/>
      <c r="X242" s="146"/>
      <c r="Y242" s="134"/>
    </row>
    <row r="243" spans="1:25" ht="12.75">
      <c r="A243" s="26">
        <f t="shared" si="1"/>
        <v>234</v>
      </c>
      <c r="C243" s="26"/>
      <c r="I243" s="27"/>
      <c r="O243" s="27"/>
      <c r="P243" s="27"/>
      <c r="Q243" s="164"/>
      <c r="R243" s="129"/>
      <c r="S243" s="5"/>
      <c r="T243" s="129"/>
      <c r="U243" s="130"/>
      <c r="V243" s="5"/>
      <c r="W243" s="5"/>
      <c r="X243" s="130"/>
      <c r="Y243" s="129"/>
    </row>
    <row r="244" spans="1:25" ht="12.75">
      <c r="A244" s="26">
        <f aca="true" t="shared" si="2" ref="A244:A267">A243+1</f>
        <v>235</v>
      </c>
      <c r="C244" s="26"/>
      <c r="I244" s="27"/>
      <c r="O244" s="27"/>
      <c r="P244" s="27"/>
      <c r="R244" s="134"/>
      <c r="S244" s="1"/>
      <c r="T244" s="134"/>
      <c r="U244" s="146"/>
      <c r="V244" s="1"/>
      <c r="W244" s="1"/>
      <c r="X244" s="146"/>
      <c r="Y244" s="134"/>
    </row>
    <row r="245" spans="1:25" ht="12.75">
      <c r="A245" s="26">
        <f t="shared" si="2"/>
        <v>236</v>
      </c>
      <c r="C245" s="26"/>
      <c r="I245" s="27"/>
      <c r="O245" s="27"/>
      <c r="P245" s="27"/>
      <c r="R245" s="134"/>
      <c r="S245" s="1"/>
      <c r="T245" s="134"/>
      <c r="U245" s="146"/>
      <c r="V245" s="1"/>
      <c r="W245" s="1"/>
      <c r="X245" s="146"/>
      <c r="Y245" s="134"/>
    </row>
    <row r="246" spans="1:25" ht="12.75">
      <c r="A246" s="26">
        <f t="shared" si="2"/>
        <v>237</v>
      </c>
      <c r="C246" s="26"/>
      <c r="I246" s="27"/>
      <c r="O246" s="27"/>
      <c r="P246" s="27"/>
      <c r="Q246" s="139"/>
      <c r="R246" s="133"/>
      <c r="S246" s="100"/>
      <c r="T246" s="133"/>
      <c r="U246" s="135"/>
      <c r="V246" s="100"/>
      <c r="W246" s="100"/>
      <c r="X246" s="135"/>
      <c r="Y246" s="133"/>
    </row>
    <row r="247" spans="1:25" ht="12.75">
      <c r="A247" s="26">
        <f t="shared" si="2"/>
        <v>238</v>
      </c>
      <c r="C247" s="26"/>
      <c r="I247" s="27"/>
      <c r="O247" s="27"/>
      <c r="P247" s="27"/>
      <c r="Q247" s="139"/>
      <c r="R247" s="133"/>
      <c r="S247" s="100"/>
      <c r="T247" s="133"/>
      <c r="U247" s="135"/>
      <c r="V247" s="100"/>
      <c r="W247" s="100"/>
      <c r="X247" s="135"/>
      <c r="Y247" s="133"/>
    </row>
    <row r="248" spans="1:25" ht="12.75">
      <c r="A248" s="26">
        <f t="shared" si="2"/>
        <v>239</v>
      </c>
      <c r="C248" s="26"/>
      <c r="I248" s="27"/>
      <c r="O248" s="27"/>
      <c r="P248" s="27"/>
      <c r="Q248" s="6"/>
      <c r="R248" s="129"/>
      <c r="S248" s="5"/>
      <c r="T248" s="129"/>
      <c r="U248" s="130"/>
      <c r="V248" s="5"/>
      <c r="W248" s="5"/>
      <c r="X248" s="130"/>
      <c r="Y248" s="129"/>
    </row>
    <row r="249" spans="1:25" ht="12.75">
      <c r="A249" s="26">
        <f t="shared" si="2"/>
        <v>240</v>
      </c>
      <c r="C249" s="26"/>
      <c r="I249" s="27"/>
      <c r="O249" s="27"/>
      <c r="P249" s="27"/>
      <c r="Q249" s="164"/>
      <c r="R249" s="129"/>
      <c r="S249" s="5"/>
      <c r="T249" s="129"/>
      <c r="U249" s="130"/>
      <c r="V249" s="5"/>
      <c r="W249" s="5"/>
      <c r="X249" s="130"/>
      <c r="Y249" s="129"/>
    </row>
    <row r="250" spans="1:25" ht="12.75">
      <c r="A250" s="26">
        <f t="shared" si="2"/>
        <v>241</v>
      </c>
      <c r="C250" s="26"/>
      <c r="I250" s="27"/>
      <c r="J250" s="27"/>
      <c r="K250" s="28"/>
      <c r="L250" s="28"/>
      <c r="M250" s="28"/>
      <c r="N250" s="27"/>
      <c r="O250" s="27"/>
      <c r="P250" s="27"/>
      <c r="Q250" s="165"/>
      <c r="R250" s="144"/>
      <c r="S250" s="103"/>
      <c r="T250" s="144"/>
      <c r="U250" s="148"/>
      <c r="V250" s="103"/>
      <c r="W250" s="103"/>
      <c r="X250" s="148"/>
      <c r="Y250" s="144"/>
    </row>
    <row r="251" spans="1:25" ht="12.75">
      <c r="A251" s="26">
        <f t="shared" si="2"/>
        <v>242</v>
      </c>
      <c r="C251" s="26"/>
      <c r="I251" s="27"/>
      <c r="O251" s="27"/>
      <c r="P251" s="27"/>
      <c r="Q251" s="6"/>
      <c r="R251" s="129"/>
      <c r="S251" s="5"/>
      <c r="T251" s="129"/>
      <c r="U251" s="130"/>
      <c r="V251" s="5"/>
      <c r="W251" s="5"/>
      <c r="X251" s="130"/>
      <c r="Y251" s="129"/>
    </row>
    <row r="252" spans="1:25" ht="12.75">
      <c r="A252" s="26">
        <f t="shared" si="2"/>
        <v>243</v>
      </c>
      <c r="C252" s="26"/>
      <c r="I252" s="27"/>
      <c r="O252" s="27"/>
      <c r="P252" s="27"/>
      <c r="Q252" s="132"/>
      <c r="R252" s="133"/>
      <c r="S252" s="100"/>
      <c r="T252" s="133"/>
      <c r="U252" s="135"/>
      <c r="V252" s="100"/>
      <c r="W252" s="100"/>
      <c r="X252" s="135"/>
      <c r="Y252" s="133"/>
    </row>
    <row r="253" spans="1:25" ht="12.75">
      <c r="A253" s="26">
        <f t="shared" si="2"/>
        <v>244</v>
      </c>
      <c r="C253" s="26"/>
      <c r="I253" s="27"/>
      <c r="O253" s="27"/>
      <c r="P253" s="27"/>
      <c r="Q253" s="163"/>
      <c r="R253" s="133"/>
      <c r="S253" s="100"/>
      <c r="T253" s="133"/>
      <c r="U253" s="135"/>
      <c r="V253" s="100"/>
      <c r="W253" s="100"/>
      <c r="X253" s="135"/>
      <c r="Y253" s="133"/>
    </row>
    <row r="254" spans="1:25" ht="12.75">
      <c r="A254" s="26">
        <f t="shared" si="2"/>
        <v>245</v>
      </c>
      <c r="C254" s="26"/>
      <c r="I254" s="27"/>
      <c r="O254" s="27"/>
      <c r="P254" s="27"/>
      <c r="Q254" s="132"/>
      <c r="R254" s="133"/>
      <c r="S254" s="100"/>
      <c r="T254" s="133"/>
      <c r="U254" s="135"/>
      <c r="V254" s="100"/>
      <c r="W254" s="100"/>
      <c r="X254" s="135"/>
      <c r="Y254" s="133"/>
    </row>
    <row r="255" spans="1:25" ht="12.75">
      <c r="A255" s="26">
        <f t="shared" si="2"/>
        <v>246</v>
      </c>
      <c r="C255" s="26"/>
      <c r="I255" s="27"/>
      <c r="O255" s="27"/>
      <c r="P255" s="27"/>
      <c r="Q255" s="163"/>
      <c r="R255" s="133"/>
      <c r="S255" s="100"/>
      <c r="T255" s="133"/>
      <c r="U255" s="135"/>
      <c r="V255" s="100"/>
      <c r="W255" s="100"/>
      <c r="X255" s="135"/>
      <c r="Y255" s="133"/>
    </row>
    <row r="256" spans="1:25" ht="12.75">
      <c r="A256" s="26">
        <f t="shared" si="2"/>
        <v>247</v>
      </c>
      <c r="C256" s="26"/>
      <c r="I256" s="27"/>
      <c r="O256" s="27"/>
      <c r="P256" s="27"/>
      <c r="Q256" s="163"/>
      <c r="R256" s="133"/>
      <c r="S256" s="100"/>
      <c r="T256" s="133"/>
      <c r="U256" s="135"/>
      <c r="V256" s="100"/>
      <c r="W256" s="100"/>
      <c r="X256" s="135"/>
      <c r="Y256" s="133"/>
    </row>
    <row r="257" spans="1:25" ht="12.75">
      <c r="A257" s="26">
        <f t="shared" si="2"/>
        <v>248</v>
      </c>
      <c r="C257" s="26"/>
      <c r="I257" s="27"/>
      <c r="O257" s="27"/>
      <c r="P257" s="27"/>
      <c r="Q257" s="132"/>
      <c r="R257" s="133"/>
      <c r="S257" s="100"/>
      <c r="T257" s="133"/>
      <c r="U257" s="135"/>
      <c r="V257" s="100"/>
      <c r="W257" s="100"/>
      <c r="X257" s="135"/>
      <c r="Y257" s="133"/>
    </row>
    <row r="258" spans="1:25" ht="12.75">
      <c r="A258" s="26">
        <f t="shared" si="2"/>
        <v>249</v>
      </c>
      <c r="C258" s="26"/>
      <c r="I258" s="27"/>
      <c r="O258" s="27"/>
      <c r="P258" s="27"/>
      <c r="Q258" s="132"/>
      <c r="R258" s="133"/>
      <c r="S258" s="100"/>
      <c r="T258" s="133"/>
      <c r="U258" s="135"/>
      <c r="V258" s="100"/>
      <c r="W258" s="100"/>
      <c r="X258" s="135"/>
      <c r="Y258" s="133"/>
    </row>
    <row r="259" spans="1:25" ht="12.75">
      <c r="A259" s="26">
        <f t="shared" si="2"/>
        <v>250</v>
      </c>
      <c r="C259" s="26"/>
      <c r="I259" s="27"/>
      <c r="O259" s="27"/>
      <c r="P259" s="27"/>
      <c r="Q259" s="132"/>
      <c r="R259" s="133"/>
      <c r="S259" s="100"/>
      <c r="T259" s="133"/>
      <c r="U259" s="135"/>
      <c r="V259" s="100"/>
      <c r="W259" s="149"/>
      <c r="X259" s="135"/>
      <c r="Y259" s="133"/>
    </row>
    <row r="260" spans="1:25" ht="12.75">
      <c r="A260" s="26">
        <f t="shared" si="2"/>
        <v>251</v>
      </c>
      <c r="C260" s="26"/>
      <c r="I260" s="27"/>
      <c r="O260" s="27"/>
      <c r="P260" s="27"/>
      <c r="Q260" s="163"/>
      <c r="R260" s="133"/>
      <c r="S260" s="100"/>
      <c r="T260" s="133"/>
      <c r="U260" s="135"/>
      <c r="V260" s="100"/>
      <c r="W260" s="100"/>
      <c r="X260" s="135"/>
      <c r="Y260" s="133"/>
    </row>
    <row r="261" spans="1:25" ht="12.75">
      <c r="A261" s="26">
        <f t="shared" si="2"/>
        <v>252</v>
      </c>
      <c r="C261" s="26"/>
      <c r="I261" s="27"/>
      <c r="Q261" s="132"/>
      <c r="R261" s="133"/>
      <c r="S261" s="100"/>
      <c r="T261" s="133"/>
      <c r="U261" s="135"/>
      <c r="V261" s="100"/>
      <c r="W261" s="100"/>
      <c r="X261" s="135"/>
      <c r="Y261" s="133"/>
    </row>
    <row r="262" spans="1:25" ht="12.75">
      <c r="A262" s="26">
        <f t="shared" si="2"/>
        <v>253</v>
      </c>
      <c r="C262" s="26"/>
      <c r="I262" s="27"/>
      <c r="Q262" s="132"/>
      <c r="R262" s="133"/>
      <c r="S262" s="100"/>
      <c r="T262" s="133"/>
      <c r="U262" s="135"/>
      <c r="V262" s="100"/>
      <c r="W262" s="100"/>
      <c r="X262" s="135"/>
      <c r="Y262" s="133"/>
    </row>
    <row r="263" spans="1:25" ht="12.75">
      <c r="A263" s="26">
        <f t="shared" si="2"/>
        <v>254</v>
      </c>
      <c r="C263" s="26"/>
      <c r="I263" s="27"/>
      <c r="Q263" s="139"/>
      <c r="R263" s="150"/>
      <c r="S263" s="151"/>
      <c r="T263" s="152"/>
      <c r="U263" s="153"/>
      <c r="V263" s="151"/>
      <c r="W263" s="151"/>
      <c r="X263" s="153"/>
      <c r="Y263" s="152"/>
    </row>
    <row r="264" spans="1:25" ht="12.75">
      <c r="A264" s="26">
        <f t="shared" si="2"/>
        <v>255</v>
      </c>
      <c r="C264" s="26"/>
      <c r="I264" s="27"/>
      <c r="Q264" s="132"/>
      <c r="R264" s="133"/>
      <c r="S264" s="100"/>
      <c r="T264" s="133"/>
      <c r="U264" s="135"/>
      <c r="V264" s="100"/>
      <c r="W264" s="100"/>
      <c r="X264" s="135"/>
      <c r="Y264" s="133"/>
    </row>
    <row r="265" spans="1:25" ht="12.75">
      <c r="A265" s="26">
        <f t="shared" si="2"/>
        <v>256</v>
      </c>
      <c r="C265" s="26"/>
      <c r="I265" s="27"/>
      <c r="Q265" s="132"/>
      <c r="R265" s="133"/>
      <c r="S265" s="100"/>
      <c r="T265" s="133"/>
      <c r="U265" s="135"/>
      <c r="V265" s="100"/>
      <c r="W265" s="100"/>
      <c r="X265" s="135"/>
      <c r="Y265" s="133"/>
    </row>
    <row r="266" spans="1:25" ht="12.75">
      <c r="A266" s="26">
        <f t="shared" si="2"/>
        <v>257</v>
      </c>
      <c r="C266" s="26"/>
      <c r="I266" s="27"/>
      <c r="Q266" s="132"/>
      <c r="R266" s="133"/>
      <c r="S266" s="100"/>
      <c r="T266" s="133"/>
      <c r="U266" s="135"/>
      <c r="V266" s="100"/>
      <c r="W266" s="100"/>
      <c r="X266" s="135"/>
      <c r="Y266" s="133"/>
    </row>
    <row r="267" spans="1:25" ht="12.75">
      <c r="A267" s="26">
        <f t="shared" si="2"/>
        <v>258</v>
      </c>
      <c r="C267" s="26"/>
      <c r="Q267" s="132"/>
      <c r="R267" s="133"/>
      <c r="S267" s="100"/>
      <c r="T267" s="133"/>
      <c r="U267" s="135"/>
      <c r="V267" s="100"/>
      <c r="W267" s="100"/>
      <c r="X267" s="135"/>
      <c r="Y267" s="133"/>
    </row>
    <row r="268" spans="1:35" ht="12.75">
      <c r="A268" s="160">
        <v>259</v>
      </c>
      <c r="C268" s="26"/>
      <c r="Q268" s="164"/>
      <c r="R268" s="129"/>
      <c r="S268" s="5"/>
      <c r="T268" s="129"/>
      <c r="U268" s="130"/>
      <c r="V268" s="5"/>
      <c r="W268" s="5"/>
      <c r="X268" s="130"/>
      <c r="Y268" s="129"/>
      <c r="Z268" s="157"/>
      <c r="AA268" s="158"/>
      <c r="AB268" s="159"/>
      <c r="AC268" s="5"/>
      <c r="AD268" s="128"/>
      <c r="AE268" s="138"/>
      <c r="AF268" s="5"/>
      <c r="AG268" s="131"/>
      <c r="AH268" s="1"/>
      <c r="AI268" s="1"/>
    </row>
    <row r="269" spans="1:19" ht="12.75">
      <c r="A269" s="160">
        <v>260</v>
      </c>
      <c r="C269" s="160"/>
      <c r="Q269" s="163"/>
      <c r="R269" s="142"/>
      <c r="S269" s="143"/>
    </row>
    <row r="270" spans="1:19" ht="12.75">
      <c r="A270" s="160">
        <v>261</v>
      </c>
      <c r="C270" s="160"/>
      <c r="Q270" s="163"/>
      <c r="R270" s="142"/>
      <c r="S270" s="143"/>
    </row>
    <row r="271" spans="1:25" ht="12.75">
      <c r="A271" s="160">
        <v>262</v>
      </c>
      <c r="C271" s="160"/>
      <c r="Q271" s="140"/>
      <c r="R271" s="129"/>
      <c r="S271" s="5"/>
      <c r="T271" s="144"/>
      <c r="U271" s="130"/>
      <c r="V271" s="5"/>
      <c r="W271" s="5"/>
      <c r="X271" s="130"/>
      <c r="Y271" s="129"/>
    </row>
    <row r="272" spans="1:27" ht="12.75">
      <c r="A272" s="160">
        <v>263</v>
      </c>
      <c r="C272" s="160"/>
      <c r="Q272" s="6"/>
      <c r="R272" s="129"/>
      <c r="S272" s="5"/>
      <c r="T272" s="129"/>
      <c r="U272" s="130"/>
      <c r="V272" s="5"/>
      <c r="W272" s="5"/>
      <c r="X272" s="130"/>
      <c r="Y272" s="129"/>
      <c r="Z272" s="1"/>
      <c r="AA272" s="1"/>
    </row>
    <row r="273" spans="1:27" ht="12.75">
      <c r="A273" s="160">
        <v>264</v>
      </c>
      <c r="C273" s="160"/>
      <c r="Q273" s="6"/>
      <c r="R273" s="129"/>
      <c r="S273" s="5"/>
      <c r="T273" s="129"/>
      <c r="U273" s="130"/>
      <c r="V273" s="5"/>
      <c r="W273" s="5"/>
      <c r="X273" s="130"/>
      <c r="Y273" s="129"/>
      <c r="Z273" s="1"/>
      <c r="AA273" s="1"/>
    </row>
    <row r="274" spans="1:27" ht="12.75">
      <c r="A274" s="160">
        <v>265</v>
      </c>
      <c r="C274" s="160"/>
      <c r="Q274" s="6"/>
      <c r="R274" s="129"/>
      <c r="S274" s="5"/>
      <c r="T274" s="129"/>
      <c r="U274" s="130"/>
      <c r="V274" s="5"/>
      <c r="W274" s="5"/>
      <c r="X274" s="130"/>
      <c r="Y274" s="129"/>
      <c r="Z274" s="1"/>
      <c r="AA274" s="1"/>
    </row>
    <row r="275" spans="1:27" ht="12.75">
      <c r="A275" s="160">
        <v>266</v>
      </c>
      <c r="C275" s="160"/>
      <c r="Q275" s="140"/>
      <c r="R275" s="129"/>
      <c r="S275" s="5"/>
      <c r="T275" s="129"/>
      <c r="U275" s="130"/>
      <c r="V275" s="5"/>
      <c r="W275" s="5"/>
      <c r="X275" s="130"/>
      <c r="Y275" s="129"/>
      <c r="Z275" s="1"/>
      <c r="AA275" s="1"/>
    </row>
    <row r="276" spans="1:27" ht="12.75">
      <c r="A276" s="160">
        <v>267</v>
      </c>
      <c r="C276" s="160"/>
      <c r="R276" s="134"/>
      <c r="S276" s="1"/>
      <c r="T276" s="134"/>
      <c r="U276" s="146"/>
      <c r="V276" s="1"/>
      <c r="W276" s="1"/>
      <c r="X276" s="146"/>
      <c r="Y276" s="134"/>
      <c r="Z276" s="1"/>
      <c r="AA276" s="1"/>
    </row>
    <row r="277" spans="1:27" ht="12.75">
      <c r="A277" s="160">
        <v>268</v>
      </c>
      <c r="C277" s="160"/>
      <c r="R277" s="134"/>
      <c r="S277" s="1"/>
      <c r="T277" s="134"/>
      <c r="U277" s="146"/>
      <c r="V277" s="1"/>
      <c r="W277" s="1"/>
      <c r="X277" s="146"/>
      <c r="Z277" s="1"/>
      <c r="AA277" s="1"/>
    </row>
    <row r="278" spans="1:27" ht="12.75">
      <c r="A278" s="160">
        <v>269</v>
      </c>
      <c r="C278" s="160"/>
      <c r="R278" s="134"/>
      <c r="S278" s="1"/>
      <c r="T278" s="134"/>
      <c r="U278" s="146"/>
      <c r="V278" s="1"/>
      <c r="W278" s="1"/>
      <c r="X278" s="146"/>
      <c r="Y278" s="134"/>
      <c r="Z278" s="131"/>
      <c r="AA278" s="1"/>
    </row>
    <row r="279" spans="1:27" ht="12.75">
      <c r="A279" s="160">
        <v>270</v>
      </c>
      <c r="C279" s="160"/>
      <c r="Q279" s="139"/>
      <c r="R279" s="133"/>
      <c r="S279" s="100"/>
      <c r="T279" s="133"/>
      <c r="U279" s="135"/>
      <c r="V279" s="100"/>
      <c r="W279" s="100"/>
      <c r="X279" s="135"/>
      <c r="Y279" s="133"/>
      <c r="AA279" s="103"/>
    </row>
    <row r="280" spans="1:27" ht="12.75">
      <c r="A280" s="160">
        <v>271</v>
      </c>
      <c r="C280" s="160"/>
      <c r="Q280" s="140"/>
      <c r="R280" s="129"/>
      <c r="S280" s="5"/>
      <c r="T280" s="129"/>
      <c r="U280" s="130"/>
      <c r="V280" s="5"/>
      <c r="W280" s="5"/>
      <c r="X280" s="130"/>
      <c r="Y280" s="129"/>
      <c r="Z280" s="1"/>
      <c r="AA280" s="1"/>
    </row>
    <row r="281" spans="1:29" ht="12.75">
      <c r="A281" s="160">
        <v>272</v>
      </c>
      <c r="C281" s="160"/>
      <c r="Q281" s="139"/>
      <c r="R281" s="133"/>
      <c r="S281" s="100"/>
      <c r="T281" s="134"/>
      <c r="U281" s="135"/>
      <c r="V281" s="100"/>
      <c r="W281" s="100"/>
      <c r="X281" s="135"/>
      <c r="Y281" s="133"/>
      <c r="Z281" s="100"/>
      <c r="AA281" s="135"/>
      <c r="AB281" s="133"/>
      <c r="AC281" s="100"/>
    </row>
    <row r="282" spans="1:27" ht="12.75">
      <c r="A282" s="160">
        <v>273</v>
      </c>
      <c r="C282" s="160"/>
      <c r="Q282" s="139"/>
      <c r="R282" s="133"/>
      <c r="S282" s="100"/>
      <c r="T282" s="134"/>
      <c r="U282" s="135"/>
      <c r="V282" s="100"/>
      <c r="W282" s="100"/>
      <c r="X282" s="135"/>
      <c r="Y282" s="133"/>
      <c r="Z282" s="103"/>
      <c r="AA282" s="103"/>
    </row>
    <row r="283" spans="1:25" ht="12.75">
      <c r="A283" s="160">
        <v>274</v>
      </c>
      <c r="C283" s="160"/>
      <c r="Q283" s="139"/>
      <c r="R283" s="133"/>
      <c r="S283" s="100"/>
      <c r="T283" s="133"/>
      <c r="U283" s="135"/>
      <c r="V283" s="100"/>
      <c r="W283" s="100"/>
      <c r="X283" s="135"/>
      <c r="Y283" s="133"/>
    </row>
    <row r="284" spans="1:25" ht="12.75">
      <c r="A284" s="160">
        <v>275</v>
      </c>
      <c r="C284" s="160"/>
      <c r="Q284" s="139"/>
      <c r="R284" s="133"/>
      <c r="S284" s="100"/>
      <c r="T284" s="133"/>
      <c r="U284" s="135"/>
      <c r="V284" s="100"/>
      <c r="W284" s="100"/>
      <c r="X284" s="135"/>
      <c r="Y284" s="133"/>
    </row>
    <row r="285" spans="1:34" ht="12.75">
      <c r="A285" s="160">
        <v>276</v>
      </c>
      <c r="C285" s="160"/>
      <c r="Q285" s="139"/>
      <c r="R285" s="133"/>
      <c r="S285" s="100"/>
      <c r="T285" s="133"/>
      <c r="U285" s="135"/>
      <c r="V285" s="100"/>
      <c r="W285" s="100"/>
      <c r="X285" s="135"/>
      <c r="Y285" s="133"/>
      <c r="Z285" s="149"/>
      <c r="AA285" s="168"/>
      <c r="AB285" s="100"/>
      <c r="AC285" s="159"/>
      <c r="AD285" s="147"/>
      <c r="AE285" s="136"/>
      <c r="AF285" s="137"/>
      <c r="AG285" s="5"/>
      <c r="AH285" s="131"/>
    </row>
    <row r="286" spans="1:3" ht="12.75">
      <c r="A286" s="160">
        <v>277</v>
      </c>
      <c r="C286" s="160"/>
    </row>
    <row r="287" ht="12.75">
      <c r="A287" s="160"/>
    </row>
    <row r="288" ht="12.75">
      <c r="A288" s="160"/>
    </row>
    <row r="289" ht="12.75">
      <c r="A289" s="160"/>
    </row>
    <row r="290" ht="12.75">
      <c r="A290" s="160"/>
    </row>
    <row r="291" ht="12.75">
      <c r="A291" s="160"/>
    </row>
  </sheetData>
  <autoFilter ref="B9:P285"/>
  <conditionalFormatting sqref="AC281 Z268:AB268 Z285:AC285">
    <cfRule type="cellIs" priority="1" dxfId="0" operator="equal" stopIfTrue="1">
      <formula>"n"</formula>
    </cfRule>
    <cfRule type="cellIs" priority="2" dxfId="1" operator="equal" stopIfTrue="1">
      <formula>"j"</formula>
    </cfRule>
  </conditionalFormatting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16"/>
  <sheetViews>
    <sheetView workbookViewId="0" topLeftCell="A1">
      <selection activeCell="AS6" sqref="AS6"/>
    </sheetView>
  </sheetViews>
  <sheetFormatPr defaultColWidth="11.421875" defaultRowHeight="12.75"/>
  <cols>
    <col min="1" max="1" width="3.7109375" style="2" customWidth="1"/>
    <col min="2" max="2" width="2.7109375" style="1" customWidth="1"/>
    <col min="3" max="3" width="2.28125" style="3" customWidth="1"/>
    <col min="4" max="4" width="3.7109375" style="8" customWidth="1"/>
    <col min="5" max="5" width="1.7109375" style="9" customWidth="1"/>
    <col min="6" max="6" width="2.421875" style="1" customWidth="1"/>
    <col min="7" max="7" width="2.7109375" style="2" customWidth="1"/>
    <col min="8" max="8" width="2.7109375" style="57" customWidth="1"/>
    <col min="9" max="9" width="2.421875" style="0" customWidth="1"/>
    <col min="10" max="10" width="1.7109375" style="10" customWidth="1"/>
    <col min="11" max="11" width="3.7109375" style="10" customWidth="1"/>
    <col min="12" max="12" width="2.28125" style="0" customWidth="1"/>
    <col min="13" max="13" width="2.7109375" style="0" customWidth="1"/>
    <col min="14" max="14" width="3.7109375" style="0" customWidth="1"/>
    <col min="15" max="15" width="3.7109375" style="2" customWidth="1"/>
    <col min="16" max="16" width="2.7109375" style="1" customWidth="1"/>
    <col min="17" max="17" width="2.28125" style="3" customWidth="1"/>
    <col min="18" max="18" width="3.7109375" style="8" customWidth="1"/>
    <col min="19" max="19" width="1.7109375" style="32" customWidth="1"/>
    <col min="20" max="20" width="2.421875" style="1" customWidth="1"/>
    <col min="21" max="21" width="2.7109375" style="2" customWidth="1"/>
    <col min="22" max="22" width="2.7109375" style="57" customWidth="1"/>
    <col min="23" max="23" width="2.421875" style="0" customWidth="1"/>
    <col min="24" max="24" width="1.7109375" style="33" customWidth="1"/>
    <col min="25" max="25" width="3.7109375" style="10" customWidth="1"/>
    <col min="26" max="26" width="2.28125" style="0" customWidth="1"/>
    <col min="27" max="27" width="2.7109375" style="0" customWidth="1"/>
    <col min="28" max="28" width="3.7109375" style="0" customWidth="1"/>
    <col min="29" max="29" width="3.7109375" style="2" customWidth="1"/>
    <col min="30" max="30" width="2.7109375" style="1" customWidth="1"/>
    <col min="31" max="31" width="2.28125" style="3" customWidth="1"/>
    <col min="32" max="32" width="3.7109375" style="8" customWidth="1"/>
    <col min="33" max="33" width="1.7109375" style="32" customWidth="1"/>
    <col min="34" max="34" width="2.421875" style="1" customWidth="1"/>
    <col min="35" max="35" width="2.7109375" style="58" customWidth="1"/>
    <col min="36" max="36" width="2.7109375" style="1" customWidth="1"/>
    <col min="37" max="37" width="2.421875" style="0" customWidth="1"/>
    <col min="38" max="38" width="1.7109375" style="33" customWidth="1"/>
    <col min="39" max="39" width="3.7109375" style="10" customWidth="1"/>
    <col min="40" max="40" width="2.28125" style="0" customWidth="1"/>
    <col min="41" max="41" width="2.7109375" style="0" customWidth="1"/>
    <col min="42" max="42" width="3.7109375" style="0" customWidth="1"/>
  </cols>
  <sheetData>
    <row r="1" spans="1:42" ht="24.75" customHeight="1">
      <c r="A1" s="34">
        <v>5</v>
      </c>
      <c r="B1" s="210" t="s">
        <v>24</v>
      </c>
      <c r="C1" s="198" t="s">
        <v>121</v>
      </c>
      <c r="D1" s="233"/>
      <c r="E1" s="231"/>
      <c r="F1" s="215"/>
      <c r="G1" s="7"/>
      <c r="H1" s="54"/>
      <c r="I1" s="11"/>
      <c r="J1" s="12"/>
      <c r="K1" s="13"/>
      <c r="L1" s="14"/>
      <c r="M1" s="15"/>
      <c r="N1" s="227"/>
      <c r="O1" s="34">
        <v>5</v>
      </c>
      <c r="P1" s="211" t="s">
        <v>24</v>
      </c>
      <c r="Q1" s="198" t="s">
        <v>121</v>
      </c>
      <c r="R1" s="233"/>
      <c r="S1" s="231"/>
      <c r="T1" s="215"/>
      <c r="U1" s="7"/>
      <c r="V1" s="54"/>
      <c r="W1" s="11"/>
      <c r="X1" s="12"/>
      <c r="Y1" s="13"/>
      <c r="Z1" s="14"/>
      <c r="AA1" s="15"/>
      <c r="AB1" s="227"/>
      <c r="AC1" s="34">
        <v>5</v>
      </c>
      <c r="AD1" s="210" t="s">
        <v>24</v>
      </c>
      <c r="AE1" s="198" t="s">
        <v>121</v>
      </c>
      <c r="AF1" s="233"/>
      <c r="AG1" s="231"/>
      <c r="AH1" s="215"/>
      <c r="AI1" s="7"/>
      <c r="AJ1" s="54"/>
      <c r="AK1" s="11"/>
      <c r="AL1" s="12"/>
      <c r="AM1" s="13"/>
      <c r="AN1" s="14"/>
      <c r="AO1" s="15"/>
      <c r="AP1" s="217"/>
    </row>
    <row r="2" spans="1:42" ht="42.75" customHeight="1">
      <c r="A2" s="154"/>
      <c r="B2" s="250"/>
      <c r="C2" s="212"/>
      <c r="D2" s="234"/>
      <c r="E2" s="232"/>
      <c r="F2" s="216"/>
      <c r="G2" s="237"/>
      <c r="H2" s="238"/>
      <c r="I2" s="196"/>
      <c r="J2" s="172"/>
      <c r="K2" s="169"/>
      <c r="L2" s="190"/>
      <c r="M2" s="225"/>
      <c r="N2" s="228"/>
      <c r="O2" s="154"/>
      <c r="P2" s="211"/>
      <c r="Q2" s="212"/>
      <c r="R2" s="234"/>
      <c r="S2" s="232"/>
      <c r="T2" s="216"/>
      <c r="U2" s="237"/>
      <c r="V2" s="238"/>
      <c r="W2" s="196"/>
      <c r="X2" s="172"/>
      <c r="Y2" s="169"/>
      <c r="Z2" s="190"/>
      <c r="AA2" s="225"/>
      <c r="AB2" s="228"/>
      <c r="AC2" s="154"/>
      <c r="AD2" s="250"/>
      <c r="AE2" s="212"/>
      <c r="AF2" s="234"/>
      <c r="AG2" s="232"/>
      <c r="AH2" s="216"/>
      <c r="AI2" s="237"/>
      <c r="AJ2" s="238"/>
      <c r="AK2" s="196"/>
      <c r="AL2" s="172"/>
      <c r="AM2" s="169"/>
      <c r="AN2" s="190"/>
      <c r="AO2" s="225"/>
      <c r="AP2" s="236"/>
    </row>
    <row r="3" spans="1:42" ht="42.75" customHeight="1">
      <c r="A3" s="223"/>
      <c r="B3" s="250"/>
      <c r="C3" s="212"/>
      <c r="D3" s="234"/>
      <c r="E3" s="232"/>
      <c r="F3" s="216"/>
      <c r="G3" s="237"/>
      <c r="H3" s="238"/>
      <c r="I3" s="196"/>
      <c r="J3" s="172"/>
      <c r="K3" s="169"/>
      <c r="L3" s="190"/>
      <c r="M3" s="225"/>
      <c r="N3" s="51"/>
      <c r="O3" s="223"/>
      <c r="P3" s="211"/>
      <c r="Q3" s="212"/>
      <c r="R3" s="234"/>
      <c r="S3" s="232"/>
      <c r="T3" s="216"/>
      <c r="U3" s="237"/>
      <c r="V3" s="238"/>
      <c r="W3" s="196"/>
      <c r="X3" s="172"/>
      <c r="Y3" s="169"/>
      <c r="Z3" s="190"/>
      <c r="AA3" s="225"/>
      <c r="AB3" s="51"/>
      <c r="AC3" s="223"/>
      <c r="AD3" s="250"/>
      <c r="AE3" s="212"/>
      <c r="AF3" s="234"/>
      <c r="AG3" s="232"/>
      <c r="AH3" s="216"/>
      <c r="AI3" s="237"/>
      <c r="AJ3" s="238"/>
      <c r="AK3" s="196"/>
      <c r="AL3" s="172"/>
      <c r="AM3" s="169"/>
      <c r="AN3" s="190"/>
      <c r="AO3" s="225"/>
      <c r="AP3" s="16"/>
    </row>
    <row r="4" spans="1:42" ht="24.75" customHeight="1">
      <c r="A4" s="224"/>
      <c r="B4" s="17" t="s">
        <v>0</v>
      </c>
      <c r="C4" s="4"/>
      <c r="D4" s="18"/>
      <c r="E4" s="19"/>
      <c r="F4" s="20"/>
      <c r="G4" s="4"/>
      <c r="H4" s="56"/>
      <c r="I4" s="219"/>
      <c r="J4" s="220"/>
      <c r="K4" s="170"/>
      <c r="L4" s="221"/>
      <c r="M4" s="226"/>
      <c r="N4" s="52"/>
      <c r="O4" s="224"/>
      <c r="P4" s="17" t="s">
        <v>0</v>
      </c>
      <c r="Q4" s="4"/>
      <c r="R4" s="18"/>
      <c r="S4" s="19"/>
      <c r="T4" s="20"/>
      <c r="U4" s="4"/>
      <c r="V4" s="56"/>
      <c r="W4" s="219"/>
      <c r="X4" s="220"/>
      <c r="Y4" s="170"/>
      <c r="Z4" s="221"/>
      <c r="AA4" s="226"/>
      <c r="AB4" s="52"/>
      <c r="AC4" s="224"/>
      <c r="AD4" s="17" t="s">
        <v>0</v>
      </c>
      <c r="AE4" s="4"/>
      <c r="AF4" s="18"/>
      <c r="AG4" s="19"/>
      <c r="AH4" s="20"/>
      <c r="AI4" s="4"/>
      <c r="AJ4" s="56"/>
      <c r="AK4" s="219"/>
      <c r="AL4" s="220"/>
      <c r="AM4" s="170"/>
      <c r="AN4" s="221"/>
      <c r="AO4" s="226"/>
      <c r="AP4" s="40"/>
    </row>
    <row r="5" spans="1:42" ht="24.75" customHeight="1">
      <c r="A5" s="34">
        <v>5</v>
      </c>
      <c r="B5" s="210" t="s">
        <v>122</v>
      </c>
      <c r="C5" s="198"/>
      <c r="D5" s="210" t="s">
        <v>123</v>
      </c>
      <c r="E5" s="231"/>
      <c r="F5" s="215"/>
      <c r="G5" s="7"/>
      <c r="H5" s="54"/>
      <c r="I5" s="11"/>
      <c r="J5" s="12"/>
      <c r="K5" s="13"/>
      <c r="L5" s="14"/>
      <c r="M5" s="15"/>
      <c r="N5" s="227"/>
      <c r="O5" s="34">
        <v>5</v>
      </c>
      <c r="P5" s="210" t="s">
        <v>122</v>
      </c>
      <c r="Q5" s="198"/>
      <c r="R5" s="210" t="s">
        <v>123</v>
      </c>
      <c r="S5" s="231"/>
      <c r="T5" s="215"/>
      <c r="U5" s="7"/>
      <c r="V5" s="54"/>
      <c r="W5" s="11"/>
      <c r="X5" s="12"/>
      <c r="Y5" s="13"/>
      <c r="Z5" s="14"/>
      <c r="AA5" s="15"/>
      <c r="AB5" s="227"/>
      <c r="AC5" s="34">
        <v>5</v>
      </c>
      <c r="AD5" s="210" t="s">
        <v>122</v>
      </c>
      <c r="AE5" s="198"/>
      <c r="AF5" s="210" t="s">
        <v>123</v>
      </c>
      <c r="AG5" s="231"/>
      <c r="AH5" s="215"/>
      <c r="AI5" s="7"/>
      <c r="AJ5" s="54"/>
      <c r="AK5" s="11"/>
      <c r="AL5" s="12"/>
      <c r="AM5" s="13"/>
      <c r="AN5" s="14"/>
      <c r="AO5" s="15"/>
      <c r="AP5" s="217"/>
    </row>
    <row r="6" spans="1:42" ht="42.75" customHeight="1">
      <c r="A6" s="154"/>
      <c r="B6" s="211"/>
      <c r="C6" s="212"/>
      <c r="D6" s="211"/>
      <c r="E6" s="232"/>
      <c r="F6" s="216"/>
      <c r="G6" s="237"/>
      <c r="H6" s="238"/>
      <c r="I6" s="196"/>
      <c r="J6" s="172"/>
      <c r="K6" s="169"/>
      <c r="L6" s="190"/>
      <c r="M6" s="225"/>
      <c r="N6" s="228"/>
      <c r="O6" s="154"/>
      <c r="P6" s="211"/>
      <c r="Q6" s="212"/>
      <c r="R6" s="211"/>
      <c r="S6" s="232"/>
      <c r="T6" s="216"/>
      <c r="U6" s="237"/>
      <c r="V6" s="238"/>
      <c r="W6" s="196"/>
      <c r="X6" s="172"/>
      <c r="Y6" s="169"/>
      <c r="Z6" s="190"/>
      <c r="AA6" s="225"/>
      <c r="AB6" s="228"/>
      <c r="AC6" s="154"/>
      <c r="AD6" s="211"/>
      <c r="AE6" s="212"/>
      <c r="AF6" s="211"/>
      <c r="AG6" s="232"/>
      <c r="AH6" s="216"/>
      <c r="AI6" s="237"/>
      <c r="AJ6" s="238"/>
      <c r="AK6" s="196"/>
      <c r="AL6" s="172"/>
      <c r="AM6" s="169"/>
      <c r="AN6" s="190"/>
      <c r="AO6" s="225"/>
      <c r="AP6" s="236"/>
    </row>
    <row r="7" spans="1:42" ht="42.75" customHeight="1">
      <c r="A7" s="223"/>
      <c r="B7" s="211"/>
      <c r="C7" s="212"/>
      <c r="D7" s="211"/>
      <c r="E7" s="232"/>
      <c r="F7" s="216"/>
      <c r="G7" s="237"/>
      <c r="H7" s="238"/>
      <c r="I7" s="196"/>
      <c r="J7" s="172"/>
      <c r="K7" s="169"/>
      <c r="L7" s="190"/>
      <c r="M7" s="225"/>
      <c r="N7" s="51"/>
      <c r="O7" s="223"/>
      <c r="P7" s="211"/>
      <c r="Q7" s="212"/>
      <c r="R7" s="211"/>
      <c r="S7" s="232"/>
      <c r="T7" s="216"/>
      <c r="U7" s="237"/>
      <c r="V7" s="238"/>
      <c r="W7" s="196"/>
      <c r="X7" s="172"/>
      <c r="Y7" s="169"/>
      <c r="Z7" s="190"/>
      <c r="AA7" s="225"/>
      <c r="AB7" s="51"/>
      <c r="AC7" s="223"/>
      <c r="AD7" s="211"/>
      <c r="AE7" s="212"/>
      <c r="AF7" s="211"/>
      <c r="AG7" s="232"/>
      <c r="AH7" s="216"/>
      <c r="AI7" s="237"/>
      <c r="AJ7" s="238"/>
      <c r="AK7" s="196"/>
      <c r="AL7" s="172"/>
      <c r="AM7" s="169"/>
      <c r="AN7" s="190"/>
      <c r="AO7" s="225"/>
      <c r="AP7" s="16"/>
    </row>
    <row r="8" spans="1:42" ht="24.75" customHeight="1">
      <c r="A8" s="224"/>
      <c r="B8" s="17" t="s">
        <v>0</v>
      </c>
      <c r="C8" s="4"/>
      <c r="D8" s="18"/>
      <c r="E8" s="19"/>
      <c r="F8" s="20"/>
      <c r="G8" s="4"/>
      <c r="H8" s="56"/>
      <c r="I8" s="219"/>
      <c r="J8" s="220"/>
      <c r="K8" s="170"/>
      <c r="L8" s="221"/>
      <c r="M8" s="226"/>
      <c r="N8" s="52"/>
      <c r="O8" s="224"/>
      <c r="P8" s="17" t="s">
        <v>0</v>
      </c>
      <c r="Q8" s="4"/>
      <c r="R8" s="18"/>
      <c r="S8" s="19"/>
      <c r="T8" s="20"/>
      <c r="U8" s="4"/>
      <c r="V8" s="56"/>
      <c r="W8" s="219"/>
      <c r="X8" s="220"/>
      <c r="Y8" s="170"/>
      <c r="Z8" s="221"/>
      <c r="AA8" s="226"/>
      <c r="AB8" s="52"/>
      <c r="AC8" s="224"/>
      <c r="AD8" s="17" t="s">
        <v>0</v>
      </c>
      <c r="AE8" s="4"/>
      <c r="AF8" s="18"/>
      <c r="AG8" s="19"/>
      <c r="AH8" s="20"/>
      <c r="AI8" s="4"/>
      <c r="AJ8" s="56"/>
      <c r="AK8" s="219"/>
      <c r="AL8" s="220"/>
      <c r="AM8" s="170"/>
      <c r="AN8" s="221"/>
      <c r="AO8" s="226"/>
      <c r="AP8" s="40"/>
    </row>
    <row r="9" spans="1:42" ht="24.75" customHeight="1">
      <c r="A9" s="34">
        <v>5</v>
      </c>
      <c r="B9" s="210" t="s">
        <v>122</v>
      </c>
      <c r="C9" s="198"/>
      <c r="D9" s="210" t="s">
        <v>123</v>
      </c>
      <c r="E9" s="231"/>
      <c r="F9" s="215"/>
      <c r="G9" s="7"/>
      <c r="H9" s="54"/>
      <c r="I9" s="11"/>
      <c r="J9" s="12"/>
      <c r="K9" s="13"/>
      <c r="L9" s="14"/>
      <c r="M9" s="15"/>
      <c r="N9" s="227"/>
      <c r="O9" s="34">
        <v>5</v>
      </c>
      <c r="P9" s="210" t="s">
        <v>122</v>
      </c>
      <c r="Q9" s="198"/>
      <c r="R9" s="210" t="s">
        <v>123</v>
      </c>
      <c r="S9" s="231"/>
      <c r="T9" s="215"/>
      <c r="U9" s="7"/>
      <c r="V9" s="54"/>
      <c r="W9" s="11"/>
      <c r="X9" s="12"/>
      <c r="Y9" s="13"/>
      <c r="Z9" s="14"/>
      <c r="AA9" s="15"/>
      <c r="AB9" s="227"/>
      <c r="AC9" s="34">
        <v>5</v>
      </c>
      <c r="AD9" s="210" t="s">
        <v>122</v>
      </c>
      <c r="AE9" s="198"/>
      <c r="AF9" s="210" t="s">
        <v>123</v>
      </c>
      <c r="AG9" s="231"/>
      <c r="AH9" s="215"/>
      <c r="AI9" s="7"/>
      <c r="AJ9" s="54"/>
      <c r="AK9" s="11"/>
      <c r="AL9" s="12"/>
      <c r="AM9" s="13"/>
      <c r="AN9" s="14"/>
      <c r="AO9" s="15"/>
      <c r="AP9" s="217"/>
    </row>
    <row r="10" spans="1:42" ht="42.75" customHeight="1">
      <c r="A10" s="154"/>
      <c r="B10" s="211"/>
      <c r="C10" s="212"/>
      <c r="D10" s="211"/>
      <c r="E10" s="232"/>
      <c r="F10" s="216"/>
      <c r="G10" s="237"/>
      <c r="H10" s="238"/>
      <c r="I10" s="196"/>
      <c r="J10" s="172"/>
      <c r="K10" s="169"/>
      <c r="L10" s="190"/>
      <c r="M10" s="225"/>
      <c r="N10" s="228"/>
      <c r="O10" s="154"/>
      <c r="P10" s="211"/>
      <c r="Q10" s="212"/>
      <c r="R10" s="211"/>
      <c r="S10" s="232"/>
      <c r="T10" s="216"/>
      <c r="U10" s="237"/>
      <c r="V10" s="238"/>
      <c r="W10" s="196"/>
      <c r="X10" s="172"/>
      <c r="Y10" s="169"/>
      <c r="Z10" s="190"/>
      <c r="AA10" s="225"/>
      <c r="AB10" s="228"/>
      <c r="AC10" s="154"/>
      <c r="AD10" s="211"/>
      <c r="AE10" s="212"/>
      <c r="AF10" s="211"/>
      <c r="AG10" s="232"/>
      <c r="AH10" s="216"/>
      <c r="AI10" s="237"/>
      <c r="AJ10" s="238"/>
      <c r="AK10" s="196"/>
      <c r="AL10" s="172"/>
      <c r="AM10" s="169"/>
      <c r="AN10" s="190"/>
      <c r="AO10" s="225"/>
      <c r="AP10" s="236"/>
    </row>
    <row r="11" spans="1:42" ht="42.75" customHeight="1">
      <c r="A11" s="223"/>
      <c r="B11" s="211"/>
      <c r="C11" s="212"/>
      <c r="D11" s="211"/>
      <c r="E11" s="232"/>
      <c r="F11" s="216"/>
      <c r="G11" s="237"/>
      <c r="H11" s="238"/>
      <c r="I11" s="196"/>
      <c r="J11" s="172"/>
      <c r="K11" s="169"/>
      <c r="L11" s="190"/>
      <c r="M11" s="225"/>
      <c r="N11" s="51"/>
      <c r="O11" s="223"/>
      <c r="P11" s="211"/>
      <c r="Q11" s="212"/>
      <c r="R11" s="211"/>
      <c r="S11" s="232"/>
      <c r="T11" s="216"/>
      <c r="U11" s="237"/>
      <c r="V11" s="238"/>
      <c r="W11" s="196"/>
      <c r="X11" s="172"/>
      <c r="Y11" s="169"/>
      <c r="Z11" s="190"/>
      <c r="AA11" s="225"/>
      <c r="AB11" s="51"/>
      <c r="AC11" s="223"/>
      <c r="AD11" s="211"/>
      <c r="AE11" s="212"/>
      <c r="AF11" s="211"/>
      <c r="AG11" s="232"/>
      <c r="AH11" s="216"/>
      <c r="AI11" s="237"/>
      <c r="AJ11" s="238"/>
      <c r="AK11" s="196"/>
      <c r="AL11" s="172"/>
      <c r="AM11" s="169"/>
      <c r="AN11" s="190"/>
      <c r="AO11" s="225"/>
      <c r="AP11" s="16"/>
    </row>
    <row r="12" spans="1:42" ht="24.75" customHeight="1">
      <c r="A12" s="224"/>
      <c r="B12" s="17" t="s">
        <v>0</v>
      </c>
      <c r="C12" s="4"/>
      <c r="D12" s="18"/>
      <c r="E12" s="19"/>
      <c r="F12" s="20"/>
      <c r="G12" s="4"/>
      <c r="H12" s="56"/>
      <c r="I12" s="219"/>
      <c r="J12" s="220"/>
      <c r="K12" s="170"/>
      <c r="L12" s="221"/>
      <c r="M12" s="226"/>
      <c r="N12" s="52"/>
      <c r="O12" s="224"/>
      <c r="P12" s="17" t="s">
        <v>0</v>
      </c>
      <c r="Q12" s="4"/>
      <c r="R12" s="18"/>
      <c r="S12" s="19"/>
      <c r="T12" s="20"/>
      <c r="U12" s="4"/>
      <c r="V12" s="56"/>
      <c r="W12" s="219"/>
      <c r="X12" s="220"/>
      <c r="Y12" s="170"/>
      <c r="Z12" s="221"/>
      <c r="AA12" s="226"/>
      <c r="AB12" s="52"/>
      <c r="AC12" s="224"/>
      <c r="AD12" s="17" t="s">
        <v>0</v>
      </c>
      <c r="AE12" s="4"/>
      <c r="AF12" s="18"/>
      <c r="AG12" s="19"/>
      <c r="AH12" s="20"/>
      <c r="AI12" s="4"/>
      <c r="AJ12" s="56"/>
      <c r="AK12" s="219"/>
      <c r="AL12" s="220"/>
      <c r="AM12" s="170"/>
      <c r="AN12" s="221"/>
      <c r="AO12" s="226"/>
      <c r="AP12" s="40"/>
    </row>
    <row r="13" spans="1:42" ht="24.75" customHeight="1">
      <c r="A13" s="34">
        <v>5</v>
      </c>
      <c r="B13" s="210" t="s">
        <v>122</v>
      </c>
      <c r="C13" s="198"/>
      <c r="D13" s="210" t="s">
        <v>123</v>
      </c>
      <c r="E13" s="231"/>
      <c r="F13" s="215"/>
      <c r="G13" s="7"/>
      <c r="H13" s="54"/>
      <c r="I13" s="11"/>
      <c r="J13" s="12"/>
      <c r="K13" s="13"/>
      <c r="L13" s="14"/>
      <c r="M13" s="15"/>
      <c r="N13" s="227"/>
      <c r="O13" s="34">
        <v>5</v>
      </c>
      <c r="P13" s="210" t="s">
        <v>122</v>
      </c>
      <c r="Q13" s="198"/>
      <c r="R13" s="210" t="s">
        <v>123</v>
      </c>
      <c r="S13" s="231"/>
      <c r="T13" s="215"/>
      <c r="U13" s="7"/>
      <c r="V13" s="54"/>
      <c r="W13" s="11"/>
      <c r="X13" s="12"/>
      <c r="Y13" s="13"/>
      <c r="Z13" s="14"/>
      <c r="AA13" s="15"/>
      <c r="AB13" s="227"/>
      <c r="AC13" s="34">
        <v>5</v>
      </c>
      <c r="AD13" s="210" t="s">
        <v>122</v>
      </c>
      <c r="AE13" s="198"/>
      <c r="AF13" s="210" t="s">
        <v>123</v>
      </c>
      <c r="AG13" s="231"/>
      <c r="AH13" s="215"/>
      <c r="AI13" s="7"/>
      <c r="AJ13" s="54"/>
      <c r="AK13" s="11"/>
      <c r="AL13" s="12"/>
      <c r="AM13" s="13"/>
      <c r="AN13" s="14"/>
      <c r="AO13" s="15"/>
      <c r="AP13" s="217"/>
    </row>
    <row r="14" spans="1:42" ht="42.75" customHeight="1">
      <c r="A14" s="154"/>
      <c r="B14" s="211"/>
      <c r="C14" s="212"/>
      <c r="D14" s="211"/>
      <c r="E14" s="232"/>
      <c r="F14" s="216"/>
      <c r="G14" s="237"/>
      <c r="H14" s="238"/>
      <c r="I14" s="196"/>
      <c r="J14" s="172"/>
      <c r="K14" s="169"/>
      <c r="L14" s="190"/>
      <c r="M14" s="225"/>
      <c r="N14" s="228"/>
      <c r="O14" s="154"/>
      <c r="P14" s="211"/>
      <c r="Q14" s="212"/>
      <c r="R14" s="211"/>
      <c r="S14" s="232"/>
      <c r="T14" s="216"/>
      <c r="U14" s="237"/>
      <c r="V14" s="238"/>
      <c r="W14" s="196"/>
      <c r="X14" s="172"/>
      <c r="Y14" s="169"/>
      <c r="Z14" s="190"/>
      <c r="AA14" s="225"/>
      <c r="AB14" s="228"/>
      <c r="AC14" s="154"/>
      <c r="AD14" s="211"/>
      <c r="AE14" s="212"/>
      <c r="AF14" s="211"/>
      <c r="AG14" s="232"/>
      <c r="AH14" s="216"/>
      <c r="AI14" s="237"/>
      <c r="AJ14" s="238"/>
      <c r="AK14" s="196"/>
      <c r="AL14" s="172"/>
      <c r="AM14" s="169"/>
      <c r="AN14" s="190"/>
      <c r="AO14" s="225"/>
      <c r="AP14" s="236"/>
    </row>
    <row r="15" spans="1:42" ht="42.75" customHeight="1">
      <c r="A15" s="223"/>
      <c r="B15" s="211"/>
      <c r="C15" s="212"/>
      <c r="D15" s="211"/>
      <c r="E15" s="232"/>
      <c r="F15" s="216"/>
      <c r="G15" s="237"/>
      <c r="H15" s="238"/>
      <c r="I15" s="196"/>
      <c r="J15" s="172"/>
      <c r="K15" s="169"/>
      <c r="L15" s="190"/>
      <c r="M15" s="225"/>
      <c r="N15" s="51"/>
      <c r="O15" s="223"/>
      <c r="P15" s="211"/>
      <c r="Q15" s="212"/>
      <c r="R15" s="211"/>
      <c r="S15" s="232"/>
      <c r="T15" s="216"/>
      <c r="U15" s="237"/>
      <c r="V15" s="238"/>
      <c r="W15" s="196"/>
      <c r="X15" s="172"/>
      <c r="Y15" s="169"/>
      <c r="Z15" s="190"/>
      <c r="AA15" s="225"/>
      <c r="AB15" s="51"/>
      <c r="AC15" s="223"/>
      <c r="AD15" s="211"/>
      <c r="AE15" s="212"/>
      <c r="AF15" s="211"/>
      <c r="AG15" s="232"/>
      <c r="AH15" s="216"/>
      <c r="AI15" s="237"/>
      <c r="AJ15" s="238"/>
      <c r="AK15" s="196"/>
      <c r="AL15" s="172"/>
      <c r="AM15" s="169"/>
      <c r="AN15" s="190"/>
      <c r="AO15" s="225"/>
      <c r="AP15" s="16"/>
    </row>
    <row r="16" spans="1:42" ht="24.75" customHeight="1">
      <c r="A16" s="224"/>
      <c r="B16" s="17" t="s">
        <v>0</v>
      </c>
      <c r="C16" s="4"/>
      <c r="D16" s="18"/>
      <c r="E16" s="19"/>
      <c r="F16" s="20"/>
      <c r="G16" s="4"/>
      <c r="H16" s="56"/>
      <c r="I16" s="219"/>
      <c r="J16" s="220"/>
      <c r="K16" s="170"/>
      <c r="L16" s="221"/>
      <c r="M16" s="226"/>
      <c r="N16" s="52"/>
      <c r="O16" s="224"/>
      <c r="P16" s="17" t="s">
        <v>0</v>
      </c>
      <c r="Q16" s="4"/>
      <c r="R16" s="18"/>
      <c r="S16" s="19"/>
      <c r="T16" s="20"/>
      <c r="U16" s="4"/>
      <c r="V16" s="56"/>
      <c r="W16" s="219"/>
      <c r="X16" s="220"/>
      <c r="Y16" s="170"/>
      <c r="Z16" s="221"/>
      <c r="AA16" s="226"/>
      <c r="AB16" s="52"/>
      <c r="AC16" s="224"/>
      <c r="AD16" s="17" t="s">
        <v>0</v>
      </c>
      <c r="AE16" s="4"/>
      <c r="AF16" s="18"/>
      <c r="AG16" s="19"/>
      <c r="AH16" s="20"/>
      <c r="AI16" s="4"/>
      <c r="AJ16" s="56"/>
      <c r="AK16" s="219"/>
      <c r="AL16" s="220"/>
      <c r="AM16" s="170"/>
      <c r="AN16" s="221"/>
      <c r="AO16" s="226"/>
      <c r="AP16" s="40"/>
    </row>
  </sheetData>
  <mergeCells count="168">
    <mergeCell ref="E9:E11"/>
    <mergeCell ref="E13:E15"/>
    <mergeCell ref="AE1:AE3"/>
    <mergeCell ref="AC3:AC4"/>
    <mergeCell ref="T1:T3"/>
    <mergeCell ref="AB1:AB2"/>
    <mergeCell ref="W2:W4"/>
    <mergeCell ref="X2:X4"/>
    <mergeCell ref="Y2:Y4"/>
    <mergeCell ref="AD1:AD3"/>
    <mergeCell ref="Z2:Z4"/>
    <mergeCell ref="AA2:AA4"/>
    <mergeCell ref="O3:O4"/>
    <mergeCell ref="Q1:Q3"/>
    <mergeCell ref="S1:S3"/>
    <mergeCell ref="U2:U3"/>
    <mergeCell ref="A3:A4"/>
    <mergeCell ref="I2:I4"/>
    <mergeCell ref="J2:J4"/>
    <mergeCell ref="K2:K4"/>
    <mergeCell ref="E1:E3"/>
    <mergeCell ref="F1:F3"/>
    <mergeCell ref="G2:G3"/>
    <mergeCell ref="L2:L4"/>
    <mergeCell ref="M2:M4"/>
    <mergeCell ref="N1:N2"/>
    <mergeCell ref="R1:R3"/>
    <mergeCell ref="P1:P3"/>
    <mergeCell ref="B5:B7"/>
    <mergeCell ref="C5:C7"/>
    <mergeCell ref="D5:D7"/>
    <mergeCell ref="C1:C3"/>
    <mergeCell ref="D1:D3"/>
    <mergeCell ref="B1:B3"/>
    <mergeCell ref="AF1:AF3"/>
    <mergeCell ref="AG1:AG3"/>
    <mergeCell ref="AH1:AH3"/>
    <mergeCell ref="AP1:AP2"/>
    <mergeCell ref="AK2:AK4"/>
    <mergeCell ref="AL2:AL4"/>
    <mergeCell ref="AM2:AM4"/>
    <mergeCell ref="AN2:AN4"/>
    <mergeCell ref="AO2:AO4"/>
    <mergeCell ref="AI2:AI3"/>
    <mergeCell ref="E5:E7"/>
    <mergeCell ref="F5:F7"/>
    <mergeCell ref="N5:N6"/>
    <mergeCell ref="P5:P7"/>
    <mergeCell ref="G6:G7"/>
    <mergeCell ref="Q5:Q7"/>
    <mergeCell ref="R5:R7"/>
    <mergeCell ref="S5:S7"/>
    <mergeCell ref="T5:T7"/>
    <mergeCell ref="AP5:AP6"/>
    <mergeCell ref="I6:I8"/>
    <mergeCell ref="J6:J8"/>
    <mergeCell ref="K6:K8"/>
    <mergeCell ref="L6:L8"/>
    <mergeCell ref="M6:M8"/>
    <mergeCell ref="W6:W8"/>
    <mergeCell ref="X6:X8"/>
    <mergeCell ref="AB5:AB6"/>
    <mergeCell ref="AD5:AD7"/>
    <mergeCell ref="Y6:Y8"/>
    <mergeCell ref="Z6:Z8"/>
    <mergeCell ref="AA6:AA8"/>
    <mergeCell ref="AK6:AK8"/>
    <mergeCell ref="AG5:AG7"/>
    <mergeCell ref="AH5:AH7"/>
    <mergeCell ref="AE5:AE7"/>
    <mergeCell ref="AF5:AF7"/>
    <mergeCell ref="AI6:AI7"/>
    <mergeCell ref="AL6:AL8"/>
    <mergeCell ref="AM6:AM8"/>
    <mergeCell ref="AN6:AN8"/>
    <mergeCell ref="AO6:AO8"/>
    <mergeCell ref="A7:A8"/>
    <mergeCell ref="O7:O8"/>
    <mergeCell ref="AC7:AC8"/>
    <mergeCell ref="B9:B11"/>
    <mergeCell ref="C9:C11"/>
    <mergeCell ref="D9:D11"/>
    <mergeCell ref="F9:F11"/>
    <mergeCell ref="N9:N10"/>
    <mergeCell ref="P9:P11"/>
    <mergeCell ref="Q9:Q11"/>
    <mergeCell ref="R9:R11"/>
    <mergeCell ref="S9:S11"/>
    <mergeCell ref="T9:T11"/>
    <mergeCell ref="AP9:AP10"/>
    <mergeCell ref="AD9:AD11"/>
    <mergeCell ref="AK10:AK12"/>
    <mergeCell ref="AG9:AG11"/>
    <mergeCell ref="AH9:AH11"/>
    <mergeCell ref="AE9:AE11"/>
    <mergeCell ref="AF9:AF11"/>
    <mergeCell ref="I10:I12"/>
    <mergeCell ref="J10:J12"/>
    <mergeCell ref="K10:K12"/>
    <mergeCell ref="L10:L12"/>
    <mergeCell ref="X10:X12"/>
    <mergeCell ref="AB9:AB10"/>
    <mergeCell ref="Y10:Y12"/>
    <mergeCell ref="Z10:Z12"/>
    <mergeCell ref="AA10:AA12"/>
    <mergeCell ref="AO10:AO12"/>
    <mergeCell ref="A11:A12"/>
    <mergeCell ref="O11:O12"/>
    <mergeCell ref="AC11:AC12"/>
    <mergeCell ref="AI10:AI11"/>
    <mergeCell ref="AL10:AL12"/>
    <mergeCell ref="AM10:AM12"/>
    <mergeCell ref="AN10:AN12"/>
    <mergeCell ref="M10:M12"/>
    <mergeCell ref="W10:W12"/>
    <mergeCell ref="AP13:AP14"/>
    <mergeCell ref="I14:I16"/>
    <mergeCell ref="J14:J16"/>
    <mergeCell ref="K14:K16"/>
    <mergeCell ref="L14:L16"/>
    <mergeCell ref="M14:M16"/>
    <mergeCell ref="W14:W16"/>
    <mergeCell ref="X14:X16"/>
    <mergeCell ref="AM14:AM16"/>
    <mergeCell ref="AN14:AN16"/>
    <mergeCell ref="AO14:AO16"/>
    <mergeCell ref="Y14:Y16"/>
    <mergeCell ref="Z14:Z16"/>
    <mergeCell ref="AA14:AA16"/>
    <mergeCell ref="AK14:AK16"/>
    <mergeCell ref="AG13:AG15"/>
    <mergeCell ref="AH13:AH15"/>
    <mergeCell ref="AE13:AE15"/>
    <mergeCell ref="AL14:AL16"/>
    <mergeCell ref="AF13:AF15"/>
    <mergeCell ref="A15:A16"/>
    <mergeCell ref="O15:O16"/>
    <mergeCell ref="AC15:AC16"/>
    <mergeCell ref="N13:N14"/>
    <mergeCell ref="P13:P15"/>
    <mergeCell ref="B13:B15"/>
    <mergeCell ref="C13:C15"/>
    <mergeCell ref="D13:D15"/>
    <mergeCell ref="F13:F15"/>
    <mergeCell ref="Q13:Q15"/>
    <mergeCell ref="R13:R15"/>
    <mergeCell ref="S13:S15"/>
    <mergeCell ref="T13:T15"/>
    <mergeCell ref="AI14:AI15"/>
    <mergeCell ref="AB13:AB14"/>
    <mergeCell ref="AD13:AD15"/>
    <mergeCell ref="G10:G11"/>
    <mergeCell ref="G14:G15"/>
    <mergeCell ref="H2:H3"/>
    <mergeCell ref="H6:H7"/>
    <mergeCell ref="H10:H11"/>
    <mergeCell ref="H14:H15"/>
    <mergeCell ref="U6:U7"/>
    <mergeCell ref="U10:U11"/>
    <mergeCell ref="U14:U15"/>
    <mergeCell ref="V2:V3"/>
    <mergeCell ref="V6:V7"/>
    <mergeCell ref="V10:V11"/>
    <mergeCell ref="V14:V15"/>
    <mergeCell ref="AJ2:AJ3"/>
    <mergeCell ref="AJ6:AJ7"/>
    <mergeCell ref="AJ10:AJ11"/>
    <mergeCell ref="AJ14:AJ15"/>
  </mergeCells>
  <printOptions horizontalCentered="1" verticalCentered="1"/>
  <pageMargins left="0.1968503937007874" right="0.5905511811023623" top="0.1968503937007874" bottom="0.1968503937007874" header="0" footer="0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86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M36" sqref="M36"/>
    </sheetView>
  </sheetViews>
  <sheetFormatPr defaultColWidth="11.421875" defaultRowHeight="12.75"/>
  <cols>
    <col min="1" max="1" width="14.8515625" style="1" customWidth="1"/>
    <col min="2" max="2" width="19.57421875" style="1" customWidth="1"/>
    <col min="3" max="3" width="13.00390625" style="1" customWidth="1"/>
    <col min="4" max="4" width="7.57421875" style="1" customWidth="1"/>
    <col min="5" max="5" width="7.00390625" style="1" customWidth="1"/>
    <col min="6" max="6" width="5.421875" style="1" customWidth="1"/>
    <col min="7" max="20" width="6.7109375" style="1" customWidth="1"/>
    <col min="21" max="28" width="6.7109375" style="0" customWidth="1"/>
  </cols>
  <sheetData>
    <row r="1" spans="4:11" ht="15.75">
      <c r="D1" s="1">
        <f>E1</f>
        <v>234</v>
      </c>
      <c r="E1" s="1">
        <f>F1*2</f>
        <v>234</v>
      </c>
      <c r="F1" s="112">
        <f>SUM(F4:F46)</f>
        <v>117</v>
      </c>
      <c r="K1" s="101" t="s">
        <v>62</v>
      </c>
    </row>
    <row r="2" spans="1:21" ht="27.75" customHeight="1">
      <c r="A2" s="1" t="s">
        <v>55</v>
      </c>
      <c r="B2" s="1" t="s">
        <v>66</v>
      </c>
      <c r="C2" s="1" t="s">
        <v>56</v>
      </c>
      <c r="D2" s="102" t="s">
        <v>88</v>
      </c>
      <c r="E2" s="102" t="s">
        <v>58</v>
      </c>
      <c r="F2" s="111" t="s">
        <v>89</v>
      </c>
      <c r="G2" s="113" t="s">
        <v>3</v>
      </c>
      <c r="H2" s="114" t="s">
        <v>53</v>
      </c>
      <c r="I2" s="81" t="s">
        <v>29</v>
      </c>
      <c r="J2" s="115" t="s">
        <v>13</v>
      </c>
      <c r="K2" s="116" t="s">
        <v>15</v>
      </c>
      <c r="L2" s="113" t="s">
        <v>12</v>
      </c>
      <c r="M2" s="117" t="s">
        <v>46</v>
      </c>
      <c r="N2" s="118" t="s">
        <v>14</v>
      </c>
      <c r="O2" s="119" t="s">
        <v>18</v>
      </c>
      <c r="P2" s="114" t="s">
        <v>16</v>
      </c>
      <c r="Q2" s="113" t="s">
        <v>57</v>
      </c>
      <c r="R2" s="120" t="s">
        <v>90</v>
      </c>
      <c r="S2" s="81" t="s">
        <v>52</v>
      </c>
      <c r="T2" s="119" t="s">
        <v>45</v>
      </c>
      <c r="U2" s="119" t="s">
        <v>84</v>
      </c>
    </row>
    <row r="3" spans="2:6" ht="12.75">
      <c r="B3" s="100"/>
      <c r="C3" s="100"/>
      <c r="F3" s="110"/>
    </row>
    <row r="4" spans="3:6" ht="12.75">
      <c r="C4" s="103"/>
      <c r="F4" s="110"/>
    </row>
    <row r="5" spans="1:9" ht="12.75">
      <c r="A5" s="1" t="s">
        <v>24</v>
      </c>
      <c r="B5" s="103" t="s">
        <v>63</v>
      </c>
      <c r="C5" s="103"/>
      <c r="D5" s="109">
        <f>SUM(G5:AA5)</f>
        <v>16</v>
      </c>
      <c r="E5" s="1">
        <f aca="true" t="shared" si="0" ref="E5:E10">F5*2</f>
        <v>16</v>
      </c>
      <c r="F5" s="110">
        <v>8</v>
      </c>
      <c r="I5" s="1">
        <v>16</v>
      </c>
    </row>
    <row r="6" spans="2:12" ht="12.75">
      <c r="B6" s="103" t="s">
        <v>30</v>
      </c>
      <c r="C6" s="103">
        <v>1011</v>
      </c>
      <c r="D6" s="109">
        <f aca="true" t="shared" si="1" ref="D6:D46">SUM(G6:AA6)</f>
        <v>4</v>
      </c>
      <c r="E6" s="1">
        <f t="shared" si="0"/>
        <v>4</v>
      </c>
      <c r="F6" s="110">
        <v>2</v>
      </c>
      <c r="G6" s="1">
        <v>2</v>
      </c>
      <c r="J6" s="1">
        <v>1</v>
      </c>
      <c r="L6" s="1">
        <v>1</v>
      </c>
    </row>
    <row r="7" spans="1:19" ht="12.75">
      <c r="A7" s="1">
        <f>SUM(G5:AA10)</f>
        <v>48</v>
      </c>
      <c r="B7" s="103" t="s">
        <v>59</v>
      </c>
      <c r="C7" s="103"/>
      <c r="D7" s="109">
        <f t="shared" si="1"/>
        <v>4</v>
      </c>
      <c r="E7" s="1">
        <f t="shared" si="0"/>
        <v>4</v>
      </c>
      <c r="F7" s="110">
        <v>2</v>
      </c>
      <c r="O7" s="1">
        <v>3</v>
      </c>
      <c r="S7" s="1">
        <v>1</v>
      </c>
    </row>
    <row r="8" spans="2:15" ht="12.75">
      <c r="B8" s="103" t="s">
        <v>26</v>
      </c>
      <c r="C8" s="103"/>
      <c r="D8" s="109">
        <f t="shared" si="1"/>
        <v>6</v>
      </c>
      <c r="E8" s="1">
        <f t="shared" si="0"/>
        <v>6</v>
      </c>
      <c r="F8" s="110">
        <v>3</v>
      </c>
      <c r="G8" s="1">
        <v>5</v>
      </c>
      <c r="O8" s="1">
        <v>1</v>
      </c>
    </row>
    <row r="9" spans="2:16" ht="12.75">
      <c r="B9" s="103" t="s">
        <v>60</v>
      </c>
      <c r="D9" s="109">
        <f t="shared" si="1"/>
        <v>10</v>
      </c>
      <c r="E9" s="1">
        <f t="shared" si="0"/>
        <v>10</v>
      </c>
      <c r="F9" s="110">
        <v>5</v>
      </c>
      <c r="G9" s="1">
        <v>6</v>
      </c>
      <c r="J9" s="1">
        <v>1</v>
      </c>
      <c r="L9" s="1">
        <v>1</v>
      </c>
      <c r="N9" s="1">
        <v>1</v>
      </c>
      <c r="P9" s="1">
        <v>1</v>
      </c>
    </row>
    <row r="10" spans="2:19" ht="12.75">
      <c r="B10" s="1" t="s">
        <v>64</v>
      </c>
      <c r="C10" s="103"/>
      <c r="D10" s="109">
        <f t="shared" si="1"/>
        <v>8</v>
      </c>
      <c r="E10" s="1">
        <f t="shared" si="0"/>
        <v>8</v>
      </c>
      <c r="F10" s="110">
        <v>4</v>
      </c>
      <c r="G10" s="1">
        <v>3</v>
      </c>
      <c r="J10" s="1">
        <v>1</v>
      </c>
      <c r="O10" s="1">
        <v>2</v>
      </c>
      <c r="S10" s="1">
        <v>2</v>
      </c>
    </row>
    <row r="11" spans="2:6" ht="12.75">
      <c r="B11" s="103"/>
      <c r="D11" s="109">
        <f t="shared" si="1"/>
        <v>0</v>
      </c>
      <c r="F11" s="110"/>
    </row>
    <row r="12" spans="1:16" ht="12.75">
      <c r="A12" s="1" t="s">
        <v>65</v>
      </c>
      <c r="B12" s="103" t="s">
        <v>51</v>
      </c>
      <c r="C12" s="103">
        <v>2040</v>
      </c>
      <c r="D12" s="109">
        <f t="shared" si="1"/>
        <v>5</v>
      </c>
      <c r="E12" s="1">
        <f aca="true" t="shared" si="2" ref="E12:E25">F12*2</f>
        <v>4</v>
      </c>
      <c r="F12" s="110">
        <v>2</v>
      </c>
      <c r="H12" s="1">
        <v>1</v>
      </c>
      <c r="P12" s="1">
        <v>4</v>
      </c>
    </row>
    <row r="13" spans="2:15" ht="12.75">
      <c r="B13" s="103" t="s">
        <v>41</v>
      </c>
      <c r="C13" s="103">
        <v>2035</v>
      </c>
      <c r="D13" s="109">
        <f t="shared" si="1"/>
        <v>2</v>
      </c>
      <c r="E13" s="1">
        <f t="shared" si="2"/>
        <v>2</v>
      </c>
      <c r="F13" s="110">
        <v>1</v>
      </c>
      <c r="G13" s="1">
        <v>1</v>
      </c>
      <c r="O13" s="1">
        <v>1</v>
      </c>
    </row>
    <row r="14" spans="2:16" ht="12.75">
      <c r="B14" s="103" t="s">
        <v>42</v>
      </c>
      <c r="C14" s="103" t="s">
        <v>67</v>
      </c>
      <c r="D14" s="109">
        <f t="shared" si="1"/>
        <v>6</v>
      </c>
      <c r="E14" s="1">
        <f t="shared" si="2"/>
        <v>6</v>
      </c>
      <c r="F14" s="110">
        <v>3</v>
      </c>
      <c r="G14" s="1">
        <v>5</v>
      </c>
      <c r="P14" s="1">
        <v>1</v>
      </c>
    </row>
    <row r="15" spans="2:16" ht="12.75">
      <c r="B15" s="103" t="s">
        <v>68</v>
      </c>
      <c r="C15" s="103" t="s">
        <v>69</v>
      </c>
      <c r="D15" s="109">
        <f t="shared" si="1"/>
        <v>6</v>
      </c>
      <c r="E15" s="1">
        <f t="shared" si="2"/>
        <v>6</v>
      </c>
      <c r="F15" s="110">
        <v>3</v>
      </c>
      <c r="G15" s="1">
        <v>2</v>
      </c>
      <c r="J15" s="1">
        <v>1</v>
      </c>
      <c r="K15" s="1">
        <v>1</v>
      </c>
      <c r="O15" s="1">
        <v>1</v>
      </c>
      <c r="P15" s="1">
        <v>1</v>
      </c>
    </row>
    <row r="16" spans="2:14" ht="12.75">
      <c r="B16" s="103" t="s">
        <v>70</v>
      </c>
      <c r="C16" s="103">
        <v>2030</v>
      </c>
      <c r="D16" s="109">
        <f t="shared" si="1"/>
        <v>8</v>
      </c>
      <c r="E16" s="1">
        <f t="shared" si="2"/>
        <v>8</v>
      </c>
      <c r="F16" s="110">
        <v>4</v>
      </c>
      <c r="N16" s="1">
        <v>8</v>
      </c>
    </row>
    <row r="17" spans="2:7" ht="12.75">
      <c r="B17" s="103" t="s">
        <v>71</v>
      </c>
      <c r="C17" s="103">
        <v>2011</v>
      </c>
      <c r="D17" s="109">
        <f t="shared" si="1"/>
        <v>2</v>
      </c>
      <c r="E17" s="1">
        <f t="shared" si="2"/>
        <v>2</v>
      </c>
      <c r="F17" s="110">
        <v>1</v>
      </c>
      <c r="G17" s="1">
        <v>2</v>
      </c>
    </row>
    <row r="18" spans="1:7" ht="12.75">
      <c r="A18" s="1">
        <f>SUM(G12:AA25)</f>
        <v>68</v>
      </c>
      <c r="B18" s="1" t="s">
        <v>72</v>
      </c>
      <c r="C18" s="1" t="s">
        <v>73</v>
      </c>
      <c r="D18" s="109">
        <f t="shared" si="1"/>
        <v>6</v>
      </c>
      <c r="E18" s="1">
        <f t="shared" si="2"/>
        <v>6</v>
      </c>
      <c r="F18" s="110">
        <v>3</v>
      </c>
      <c r="G18" s="1">
        <v>6</v>
      </c>
    </row>
    <row r="19" spans="2:15" ht="12.75">
      <c r="B19" s="1" t="s">
        <v>74</v>
      </c>
      <c r="C19" s="1">
        <v>2010</v>
      </c>
      <c r="D19" s="109">
        <f t="shared" si="1"/>
        <v>3</v>
      </c>
      <c r="E19" s="1">
        <f t="shared" si="2"/>
        <v>2</v>
      </c>
      <c r="F19" s="110">
        <v>1</v>
      </c>
      <c r="J19" s="1">
        <v>1</v>
      </c>
      <c r="L19" s="1">
        <v>1</v>
      </c>
      <c r="O19" s="1">
        <v>1</v>
      </c>
    </row>
    <row r="20" spans="2:12" ht="12.75">
      <c r="B20" s="1" t="s">
        <v>75</v>
      </c>
      <c r="C20" s="1">
        <v>2014</v>
      </c>
      <c r="D20" s="109">
        <f t="shared" si="1"/>
        <v>2</v>
      </c>
      <c r="E20" s="1">
        <f t="shared" si="2"/>
        <v>2</v>
      </c>
      <c r="F20" s="110">
        <v>1</v>
      </c>
      <c r="J20" s="1">
        <v>1</v>
      </c>
      <c r="L20" s="1">
        <v>1</v>
      </c>
    </row>
    <row r="21" spans="2:19" ht="12.75">
      <c r="B21" s="1" t="s">
        <v>83</v>
      </c>
      <c r="C21" s="1">
        <v>2070</v>
      </c>
      <c r="D21" s="109">
        <f t="shared" si="1"/>
        <v>4</v>
      </c>
      <c r="E21" s="1">
        <f t="shared" si="2"/>
        <v>4</v>
      </c>
      <c r="F21" s="110">
        <v>2</v>
      </c>
      <c r="G21" s="1">
        <v>1</v>
      </c>
      <c r="S21" s="1">
        <v>3</v>
      </c>
    </row>
    <row r="22" spans="2:20" ht="12.75">
      <c r="B22" s="1" t="s">
        <v>76</v>
      </c>
      <c r="C22" s="1">
        <v>2055</v>
      </c>
      <c r="D22" s="109">
        <f t="shared" si="1"/>
        <v>3</v>
      </c>
      <c r="E22" s="1">
        <f t="shared" si="2"/>
        <v>2</v>
      </c>
      <c r="F22" s="110">
        <v>1</v>
      </c>
      <c r="G22" s="1">
        <v>1</v>
      </c>
      <c r="T22" s="1">
        <v>2</v>
      </c>
    </row>
    <row r="23" spans="2:19" ht="12.75">
      <c r="B23" s="1" t="s">
        <v>47</v>
      </c>
      <c r="C23" s="1">
        <v>2020</v>
      </c>
      <c r="D23" s="109">
        <f t="shared" si="1"/>
        <v>11</v>
      </c>
      <c r="E23" s="1">
        <f t="shared" si="2"/>
        <v>10</v>
      </c>
      <c r="F23" s="110">
        <v>5</v>
      </c>
      <c r="G23" s="1">
        <v>4</v>
      </c>
      <c r="J23" s="1">
        <v>1</v>
      </c>
      <c r="K23" s="1">
        <v>1</v>
      </c>
      <c r="L23" s="1">
        <v>1</v>
      </c>
      <c r="M23" s="1">
        <v>1</v>
      </c>
      <c r="O23" s="1">
        <v>1</v>
      </c>
      <c r="P23" s="1">
        <v>1</v>
      </c>
      <c r="S23" s="1">
        <v>1</v>
      </c>
    </row>
    <row r="24" spans="2:9" ht="12.75">
      <c r="B24" s="1" t="s">
        <v>77</v>
      </c>
      <c r="C24" s="1">
        <v>2050</v>
      </c>
      <c r="D24" s="109">
        <f t="shared" si="1"/>
        <v>4</v>
      </c>
      <c r="E24" s="1">
        <f t="shared" si="2"/>
        <v>4</v>
      </c>
      <c r="F24" s="110">
        <v>2</v>
      </c>
      <c r="G24" s="1">
        <v>2</v>
      </c>
      <c r="I24" s="1">
        <v>2</v>
      </c>
    </row>
    <row r="25" spans="2:10" ht="12.75">
      <c r="B25" s="1" t="s">
        <v>22</v>
      </c>
      <c r="C25" s="1">
        <v>2060</v>
      </c>
      <c r="D25" s="109">
        <f t="shared" si="1"/>
        <v>6</v>
      </c>
      <c r="E25" s="1">
        <f t="shared" si="2"/>
        <v>6</v>
      </c>
      <c r="F25" s="110">
        <v>3</v>
      </c>
      <c r="G25" s="1">
        <v>5</v>
      </c>
      <c r="J25" s="1">
        <v>1</v>
      </c>
    </row>
    <row r="26" spans="4:6" ht="12.75">
      <c r="D26" s="109"/>
      <c r="F26" s="110"/>
    </row>
    <row r="27" spans="1:21" ht="12.75">
      <c r="A27" s="1" t="s">
        <v>39</v>
      </c>
      <c r="B27" s="1" t="s">
        <v>28</v>
      </c>
      <c r="C27" s="1">
        <v>4020</v>
      </c>
      <c r="D27" s="109">
        <f t="shared" si="1"/>
        <v>8</v>
      </c>
      <c r="E27" s="1">
        <f aca="true" t="shared" si="3" ref="E27:E32">F27*2</f>
        <v>8</v>
      </c>
      <c r="F27" s="110">
        <v>4</v>
      </c>
      <c r="G27" s="1">
        <v>5</v>
      </c>
      <c r="I27" s="1">
        <v>1</v>
      </c>
      <c r="O27" s="1">
        <v>1</v>
      </c>
      <c r="U27">
        <v>1</v>
      </c>
    </row>
    <row r="28" spans="2:21" ht="12.75">
      <c r="B28" s="1" t="s">
        <v>78</v>
      </c>
      <c r="C28" s="1">
        <v>4010</v>
      </c>
      <c r="D28" s="109">
        <f t="shared" si="1"/>
        <v>7</v>
      </c>
      <c r="E28" s="1">
        <f t="shared" si="3"/>
        <v>6</v>
      </c>
      <c r="F28" s="110">
        <v>3</v>
      </c>
      <c r="G28" s="1">
        <v>3</v>
      </c>
      <c r="H28" s="1">
        <v>1</v>
      </c>
      <c r="P28" s="1">
        <v>2</v>
      </c>
      <c r="U28">
        <v>1</v>
      </c>
    </row>
    <row r="29" spans="2:19" ht="12.75">
      <c r="B29" s="1" t="s">
        <v>27</v>
      </c>
      <c r="C29" s="1">
        <v>4070</v>
      </c>
      <c r="D29" s="109">
        <f t="shared" si="1"/>
        <v>13</v>
      </c>
      <c r="E29" s="1">
        <f t="shared" si="3"/>
        <v>12</v>
      </c>
      <c r="F29" s="110">
        <v>6</v>
      </c>
      <c r="G29" s="1">
        <v>3</v>
      </c>
      <c r="J29" s="1">
        <v>1</v>
      </c>
      <c r="L29" s="1">
        <v>2</v>
      </c>
      <c r="M29" s="1">
        <v>3</v>
      </c>
      <c r="O29" s="1">
        <v>1</v>
      </c>
      <c r="P29" s="1">
        <v>1</v>
      </c>
      <c r="Q29" s="1">
        <v>1</v>
      </c>
      <c r="S29" s="1">
        <v>1</v>
      </c>
    </row>
    <row r="30" spans="1:14" ht="12.75">
      <c r="A30" s="1">
        <f>SUM(G27:AA32)</f>
        <v>56</v>
      </c>
      <c r="B30" s="1" t="s">
        <v>49</v>
      </c>
      <c r="C30" s="1">
        <v>4040</v>
      </c>
      <c r="D30" s="109">
        <f t="shared" si="1"/>
        <v>12</v>
      </c>
      <c r="E30" s="1">
        <f t="shared" si="3"/>
        <v>12</v>
      </c>
      <c r="F30" s="110">
        <v>6</v>
      </c>
      <c r="N30" s="1">
        <v>12</v>
      </c>
    </row>
    <row r="31" spans="2:18" ht="12.75">
      <c r="B31" s="1" t="s">
        <v>40</v>
      </c>
      <c r="C31" s="1">
        <v>4050</v>
      </c>
      <c r="D31" s="109">
        <f t="shared" si="1"/>
        <v>6</v>
      </c>
      <c r="E31" s="1">
        <f t="shared" si="3"/>
        <v>6</v>
      </c>
      <c r="F31" s="110">
        <v>3</v>
      </c>
      <c r="G31" s="1">
        <v>3</v>
      </c>
      <c r="J31" s="1">
        <v>1</v>
      </c>
      <c r="P31" s="1">
        <v>1</v>
      </c>
      <c r="R31" s="1">
        <v>1</v>
      </c>
    </row>
    <row r="32" spans="2:9" ht="12.75">
      <c r="B32" s="1" t="s">
        <v>43</v>
      </c>
      <c r="C32" s="1">
        <v>4060</v>
      </c>
      <c r="D32" s="109">
        <f t="shared" si="1"/>
        <v>10</v>
      </c>
      <c r="E32" s="1">
        <f t="shared" si="3"/>
        <v>10</v>
      </c>
      <c r="F32" s="110">
        <v>5</v>
      </c>
      <c r="I32" s="1">
        <v>10</v>
      </c>
    </row>
    <row r="33" spans="4:6" ht="12.75">
      <c r="D33" s="109">
        <f t="shared" si="1"/>
        <v>0</v>
      </c>
      <c r="F33" s="110"/>
    </row>
    <row r="34" spans="2:15" ht="12.75">
      <c r="B34" s="1" t="s">
        <v>79</v>
      </c>
      <c r="C34" s="1" t="s">
        <v>80</v>
      </c>
      <c r="D34" s="109">
        <f t="shared" si="1"/>
        <v>9</v>
      </c>
      <c r="E34" s="1">
        <f aca="true" t="shared" si="4" ref="E34:E44">F34*2</f>
        <v>10</v>
      </c>
      <c r="F34" s="110">
        <v>5</v>
      </c>
      <c r="G34" s="1">
        <v>4</v>
      </c>
      <c r="L34" s="1">
        <v>4</v>
      </c>
      <c r="O34" s="1">
        <v>1</v>
      </c>
    </row>
    <row r="35" spans="3:15" ht="12.75">
      <c r="C35" s="1">
        <v>3015</v>
      </c>
      <c r="D35" s="109">
        <f t="shared" si="1"/>
        <v>4</v>
      </c>
      <c r="E35" s="1">
        <f t="shared" si="4"/>
        <v>4</v>
      </c>
      <c r="F35" s="110">
        <v>2</v>
      </c>
      <c r="N35" s="1">
        <v>3</v>
      </c>
      <c r="O35" s="1">
        <v>1</v>
      </c>
    </row>
    <row r="36" spans="1:16" ht="12.75">
      <c r="A36" s="1" t="s">
        <v>44</v>
      </c>
      <c r="B36" s="1" t="s">
        <v>48</v>
      </c>
      <c r="C36" s="1" t="s">
        <v>81</v>
      </c>
      <c r="D36" s="109">
        <f t="shared" si="1"/>
        <v>16</v>
      </c>
      <c r="E36" s="1">
        <f t="shared" si="4"/>
        <v>16</v>
      </c>
      <c r="F36" s="110">
        <v>8</v>
      </c>
      <c r="G36" s="1">
        <v>9</v>
      </c>
      <c r="H36" s="1">
        <v>3</v>
      </c>
      <c r="P36" s="1">
        <v>4</v>
      </c>
    </row>
    <row r="37" spans="2:9" ht="12.75">
      <c r="B37" s="1" t="s">
        <v>91</v>
      </c>
      <c r="C37" s="1">
        <v>3030</v>
      </c>
      <c r="D37" s="109">
        <f t="shared" si="1"/>
        <v>2</v>
      </c>
      <c r="E37" s="1">
        <f t="shared" si="4"/>
        <v>2</v>
      </c>
      <c r="F37" s="110">
        <v>1</v>
      </c>
      <c r="I37" s="1">
        <v>2</v>
      </c>
    </row>
    <row r="38" spans="3:21" ht="12.75">
      <c r="C38" s="1">
        <v>3031</v>
      </c>
      <c r="D38" s="109">
        <f t="shared" si="1"/>
        <v>7</v>
      </c>
      <c r="E38" s="1">
        <f t="shared" si="4"/>
        <v>4</v>
      </c>
      <c r="F38" s="110">
        <v>2</v>
      </c>
      <c r="G38" s="1">
        <v>2</v>
      </c>
      <c r="H38" s="1">
        <v>2</v>
      </c>
      <c r="N38" s="1">
        <v>1</v>
      </c>
      <c r="P38" s="1">
        <v>1</v>
      </c>
      <c r="U38">
        <v>1</v>
      </c>
    </row>
    <row r="39" spans="2:9" ht="12.75">
      <c r="B39" s="1" t="s">
        <v>92</v>
      </c>
      <c r="C39" s="1">
        <v>3040</v>
      </c>
      <c r="D39" s="109">
        <f t="shared" si="1"/>
        <v>6</v>
      </c>
      <c r="E39" s="1">
        <f t="shared" si="4"/>
        <v>6</v>
      </c>
      <c r="F39" s="110">
        <v>3</v>
      </c>
      <c r="G39" s="1">
        <v>3</v>
      </c>
      <c r="I39" s="1">
        <v>3</v>
      </c>
    </row>
    <row r="40" spans="1:9" ht="12.75">
      <c r="A40" s="1">
        <f>SUM(G34:AA44)</f>
        <v>73</v>
      </c>
      <c r="C40" s="1">
        <v>3041</v>
      </c>
      <c r="D40" s="109">
        <f t="shared" si="1"/>
        <v>4</v>
      </c>
      <c r="E40" s="1">
        <f t="shared" si="4"/>
        <v>4</v>
      </c>
      <c r="F40" s="110">
        <v>2</v>
      </c>
      <c r="G40" s="1">
        <v>1</v>
      </c>
      <c r="I40" s="1">
        <v>3</v>
      </c>
    </row>
    <row r="41" spans="3:9" ht="12.75">
      <c r="C41" s="1">
        <v>3042</v>
      </c>
      <c r="D41" s="109">
        <f t="shared" si="1"/>
        <v>7</v>
      </c>
      <c r="E41" s="1">
        <f t="shared" si="4"/>
        <v>6</v>
      </c>
      <c r="F41" s="110">
        <v>3</v>
      </c>
      <c r="I41" s="1">
        <v>7</v>
      </c>
    </row>
    <row r="42" spans="2:16" ht="12.75">
      <c r="B42" s="1" t="s">
        <v>47</v>
      </c>
      <c r="C42" s="1">
        <v>3100</v>
      </c>
      <c r="D42" s="109">
        <f t="shared" si="1"/>
        <v>11</v>
      </c>
      <c r="E42" s="1">
        <f t="shared" si="4"/>
        <v>10</v>
      </c>
      <c r="F42" s="110">
        <v>5</v>
      </c>
      <c r="G42" s="1">
        <v>5</v>
      </c>
      <c r="J42" s="1">
        <v>1</v>
      </c>
      <c r="L42" s="1">
        <v>1</v>
      </c>
      <c r="M42" s="1">
        <v>1</v>
      </c>
      <c r="N42" s="1">
        <v>1</v>
      </c>
      <c r="O42" s="1">
        <v>1</v>
      </c>
      <c r="P42" s="1">
        <v>1</v>
      </c>
    </row>
    <row r="43" spans="2:15" ht="12.75">
      <c r="B43" s="1" t="s">
        <v>54</v>
      </c>
      <c r="C43" s="1">
        <v>3025</v>
      </c>
      <c r="D43" s="109">
        <f t="shared" si="1"/>
        <v>5</v>
      </c>
      <c r="E43" s="1">
        <f t="shared" si="4"/>
        <v>4</v>
      </c>
      <c r="F43" s="110">
        <v>2</v>
      </c>
      <c r="G43" s="1">
        <v>2</v>
      </c>
      <c r="H43" s="1">
        <v>2</v>
      </c>
      <c r="O43" s="1">
        <v>1</v>
      </c>
    </row>
    <row r="44" spans="2:14" ht="12.75">
      <c r="B44" s="1" t="s">
        <v>82</v>
      </c>
      <c r="C44" s="1">
        <v>3050</v>
      </c>
      <c r="D44" s="109">
        <f t="shared" si="1"/>
        <v>2</v>
      </c>
      <c r="E44" s="1">
        <f t="shared" si="4"/>
        <v>2</v>
      </c>
      <c r="F44" s="110">
        <v>1</v>
      </c>
      <c r="G44" s="1">
        <v>1</v>
      </c>
      <c r="N44" s="1">
        <v>1</v>
      </c>
    </row>
    <row r="45" spans="4:6" ht="12.75">
      <c r="D45" s="109">
        <f t="shared" si="1"/>
        <v>0</v>
      </c>
      <c r="F45" s="110"/>
    </row>
    <row r="46" spans="4:6" ht="12.75">
      <c r="D46" s="109">
        <f t="shared" si="1"/>
        <v>0</v>
      </c>
      <c r="F46" s="110"/>
    </row>
    <row r="47" ht="12.75">
      <c r="F47" s="110"/>
    </row>
    <row r="48" ht="12.75">
      <c r="F48" s="110"/>
    </row>
    <row r="49" spans="1:19" ht="12.75">
      <c r="A49" s="104" t="s">
        <v>61</v>
      </c>
      <c r="F49" s="110">
        <f aca="true" t="shared" si="5" ref="F49:S49">SUM(F4:F48)</f>
        <v>117</v>
      </c>
      <c r="G49" s="105">
        <f t="shared" si="5"/>
        <v>86</v>
      </c>
      <c r="H49" s="105"/>
      <c r="I49" s="105">
        <f t="shared" si="5"/>
        <v>44</v>
      </c>
      <c r="J49" s="105">
        <f t="shared" si="5"/>
        <v>11</v>
      </c>
      <c r="K49" s="105">
        <f t="shared" si="5"/>
        <v>2</v>
      </c>
      <c r="L49" s="105">
        <f t="shared" si="5"/>
        <v>12</v>
      </c>
      <c r="M49" s="105">
        <f t="shared" si="5"/>
        <v>5</v>
      </c>
      <c r="N49" s="105">
        <f t="shared" si="5"/>
        <v>27</v>
      </c>
      <c r="O49" s="105">
        <f t="shared" si="5"/>
        <v>16</v>
      </c>
      <c r="P49" s="105">
        <f t="shared" si="5"/>
        <v>18</v>
      </c>
      <c r="Q49" s="105">
        <f t="shared" si="5"/>
        <v>1</v>
      </c>
      <c r="R49" s="105">
        <f t="shared" si="5"/>
        <v>1</v>
      </c>
      <c r="S49" s="105">
        <f t="shared" si="5"/>
        <v>8</v>
      </c>
    </row>
    <row r="50" spans="1:6" ht="12.75">
      <c r="A50" s="104">
        <f>SUM(G49:AA49)</f>
        <v>231</v>
      </c>
      <c r="F50" s="110"/>
    </row>
    <row r="51" ht="12.75">
      <c r="F51" s="110"/>
    </row>
    <row r="65" spans="7:18" ht="15.75">
      <c r="G65" s="95"/>
      <c r="H65" s="95"/>
      <c r="I65" s="95"/>
      <c r="J65" s="90"/>
      <c r="L65" s="90"/>
      <c r="N65" s="90"/>
      <c r="O65" s="64"/>
      <c r="P65" s="108"/>
      <c r="Q65" s="70"/>
      <c r="R65" s="70"/>
    </row>
    <row r="66" spans="7:18" ht="15.75">
      <c r="G66" s="101"/>
      <c r="H66" s="101"/>
      <c r="I66" s="101"/>
      <c r="J66" s="101"/>
      <c r="K66" s="101"/>
      <c r="L66" s="101"/>
      <c r="M66" s="101"/>
      <c r="N66" s="101"/>
      <c r="O66" s="101"/>
      <c r="P66" s="108"/>
      <c r="Q66" s="70"/>
      <c r="R66" s="70"/>
    </row>
    <row r="67" spans="7:18" ht="15">
      <c r="G67" s="102"/>
      <c r="H67" s="102"/>
      <c r="I67" s="102"/>
      <c r="J67" s="95"/>
      <c r="K67" s="103"/>
      <c r="L67" s="103"/>
      <c r="M67" s="103"/>
      <c r="N67" s="103"/>
      <c r="P67" s="108"/>
      <c r="Q67" s="70"/>
      <c r="R67" s="70"/>
    </row>
    <row r="68" spans="7:18" ht="15">
      <c r="G68" s="95"/>
      <c r="H68" s="95"/>
      <c r="I68" s="103"/>
      <c r="J68" s="106"/>
      <c r="K68" s="103"/>
      <c r="L68" s="103"/>
      <c r="M68" s="103"/>
      <c r="N68" s="103"/>
      <c r="P68" s="108"/>
      <c r="Q68" s="107"/>
      <c r="R68" s="70"/>
    </row>
    <row r="69" spans="7:18" ht="15.75">
      <c r="G69" s="95"/>
      <c r="H69" s="95"/>
      <c r="I69" s="103"/>
      <c r="J69" s="101"/>
      <c r="K69" s="103"/>
      <c r="L69" s="95"/>
      <c r="M69" s="95"/>
      <c r="N69" s="70"/>
      <c r="O69" s="64"/>
      <c r="P69" s="70"/>
      <c r="Q69" s="70"/>
      <c r="R69" s="70"/>
    </row>
    <row r="70" spans="7:15" ht="15.75">
      <c r="G70" s="95"/>
      <c r="H70" s="95"/>
      <c r="K70" s="101"/>
      <c r="N70" s="101"/>
      <c r="O70" s="101"/>
    </row>
    <row r="71" spans="7:18" ht="15.75">
      <c r="G71" s="101"/>
      <c r="H71" s="101"/>
      <c r="I71" s="101"/>
      <c r="J71" s="95"/>
      <c r="K71" s="103"/>
      <c r="L71" s="103"/>
      <c r="M71" s="103"/>
      <c r="N71" s="103"/>
      <c r="P71" s="108"/>
      <c r="Q71" s="70"/>
      <c r="R71" s="70"/>
    </row>
    <row r="72" spans="7:18" ht="15">
      <c r="G72" s="102"/>
      <c r="H72" s="102"/>
      <c r="I72" s="102"/>
      <c r="J72" s="95"/>
      <c r="K72" s="103"/>
      <c r="L72" s="103"/>
      <c r="M72" s="103"/>
      <c r="N72" s="70"/>
      <c r="P72" s="108"/>
      <c r="Q72" s="70"/>
      <c r="R72" s="70"/>
    </row>
    <row r="73" spans="7:18" ht="15">
      <c r="G73" s="95"/>
      <c r="H73" s="95"/>
      <c r="I73" s="103"/>
      <c r="J73" s="106"/>
      <c r="K73" s="103"/>
      <c r="L73" s="103"/>
      <c r="M73" s="103"/>
      <c r="N73" s="70"/>
      <c r="O73" s="64"/>
      <c r="P73" s="108"/>
      <c r="Q73" s="107"/>
      <c r="R73" s="70"/>
    </row>
    <row r="74" spans="7:18" ht="15">
      <c r="G74" s="95"/>
      <c r="H74" s="95"/>
      <c r="I74" s="103"/>
      <c r="J74" s="103"/>
      <c r="K74" s="103"/>
      <c r="L74" s="95"/>
      <c r="M74" s="95"/>
      <c r="N74" s="70"/>
      <c r="O74" s="64"/>
      <c r="P74" s="70"/>
      <c r="Q74" s="70"/>
      <c r="R74" s="70"/>
    </row>
    <row r="75" spans="7:8" ht="12.75">
      <c r="G75" s="95"/>
      <c r="H75" s="95"/>
    </row>
    <row r="78" spans="7:15" ht="15.75">
      <c r="G78" s="101"/>
      <c r="H78" s="101"/>
      <c r="I78" s="101"/>
      <c r="J78" s="101"/>
      <c r="K78" s="101"/>
      <c r="L78" s="101"/>
      <c r="M78" s="101"/>
      <c r="O78" s="101"/>
    </row>
    <row r="79" spans="7:13" ht="12.75">
      <c r="G79" s="102"/>
      <c r="H79" s="102"/>
      <c r="I79" s="102"/>
      <c r="J79" s="95"/>
      <c r="K79" s="95"/>
      <c r="L79" s="103"/>
      <c r="M79" s="102"/>
    </row>
    <row r="80" spans="7:13" ht="12.75">
      <c r="G80" s="95"/>
      <c r="H80" s="95"/>
      <c r="I80" s="103"/>
      <c r="J80" s="106"/>
      <c r="K80" s="106"/>
      <c r="L80" s="103"/>
      <c r="M80" s="102"/>
    </row>
    <row r="81" spans="7:15" ht="15.75">
      <c r="G81" s="95"/>
      <c r="H81" s="95"/>
      <c r="I81" s="103"/>
      <c r="J81" s="101"/>
      <c r="K81" s="101"/>
      <c r="L81" s="95"/>
      <c r="M81" s="102"/>
      <c r="O81" s="64"/>
    </row>
    <row r="82" spans="7:15" ht="15.75">
      <c r="G82" s="95"/>
      <c r="H82" s="95"/>
      <c r="M82" s="102"/>
      <c r="O82" s="101"/>
    </row>
    <row r="83" spans="7:13" ht="15.75">
      <c r="G83" s="101"/>
      <c r="H83" s="101"/>
      <c r="I83" s="101"/>
      <c r="J83" s="95"/>
      <c r="K83" s="103"/>
      <c r="L83" s="103"/>
      <c r="M83" s="102"/>
    </row>
    <row r="85" ht="15.75">
      <c r="M85" s="101"/>
    </row>
    <row r="86" ht="12.75">
      <c r="M86" s="103"/>
    </row>
  </sheetData>
  <conditionalFormatting sqref="D11">
    <cfRule type="cellIs" priority="1" dxfId="2" operator="equal" stopIfTrue="1">
      <formula>0</formula>
    </cfRule>
    <cfRule type="cellIs" priority="2" dxfId="0" operator="greaterThan" stopIfTrue="1">
      <formula>$E$5</formula>
    </cfRule>
  </conditionalFormatting>
  <conditionalFormatting sqref="D5">
    <cfRule type="cellIs" priority="3" dxfId="2" operator="equal" stopIfTrue="1">
      <formula>0</formula>
    </cfRule>
    <cfRule type="cellIs" priority="4" dxfId="0" operator="notEqual" stopIfTrue="1">
      <formula>$E$5</formula>
    </cfRule>
  </conditionalFormatting>
  <conditionalFormatting sqref="D6">
    <cfRule type="cellIs" priority="5" dxfId="2" operator="equal" stopIfTrue="1">
      <formula>0</formula>
    </cfRule>
    <cfRule type="cellIs" priority="6" dxfId="0" operator="notEqual" stopIfTrue="1">
      <formula>$E$6</formula>
    </cfRule>
  </conditionalFormatting>
  <conditionalFormatting sqref="D7">
    <cfRule type="cellIs" priority="7" dxfId="2" operator="equal" stopIfTrue="1">
      <formula>0</formula>
    </cfRule>
    <cfRule type="cellIs" priority="8" dxfId="0" operator="notEqual" stopIfTrue="1">
      <formula>$E$7</formula>
    </cfRule>
  </conditionalFormatting>
  <conditionalFormatting sqref="D13 D26 D33 D45:D46">
    <cfRule type="cellIs" priority="9" dxfId="2" operator="equal" stopIfTrue="1">
      <formula>0</formula>
    </cfRule>
    <cfRule type="cellIs" priority="10" dxfId="0" operator="notEqual" stopIfTrue="1">
      <formula>$E$13</formula>
    </cfRule>
  </conditionalFormatting>
  <conditionalFormatting sqref="D12">
    <cfRule type="cellIs" priority="11" dxfId="2" operator="equal" stopIfTrue="1">
      <formula>0</formula>
    </cfRule>
    <cfRule type="cellIs" priority="12" dxfId="0" operator="notEqual" stopIfTrue="1">
      <formula>$E$12</formula>
    </cfRule>
  </conditionalFormatting>
  <conditionalFormatting sqref="D14">
    <cfRule type="cellIs" priority="13" dxfId="2" operator="equal" stopIfTrue="1">
      <formula>0</formula>
    </cfRule>
    <cfRule type="cellIs" priority="14" dxfId="0" operator="notEqual" stopIfTrue="1">
      <formula>$E$14</formula>
    </cfRule>
  </conditionalFormatting>
  <conditionalFormatting sqref="D15">
    <cfRule type="cellIs" priority="15" dxfId="2" operator="equal" stopIfTrue="1">
      <formula>0</formula>
    </cfRule>
    <cfRule type="cellIs" priority="16" dxfId="0" operator="notEqual" stopIfTrue="1">
      <formula>$E$15</formula>
    </cfRule>
  </conditionalFormatting>
  <conditionalFormatting sqref="D16">
    <cfRule type="cellIs" priority="17" dxfId="2" operator="equal" stopIfTrue="1">
      <formula>0</formula>
    </cfRule>
    <cfRule type="cellIs" priority="18" dxfId="0" operator="notEqual" stopIfTrue="1">
      <formula>$E$16</formula>
    </cfRule>
  </conditionalFormatting>
  <conditionalFormatting sqref="D17">
    <cfRule type="cellIs" priority="19" dxfId="2" operator="equal" stopIfTrue="1">
      <formula>0</formula>
    </cfRule>
    <cfRule type="cellIs" priority="20" dxfId="0" operator="notEqual" stopIfTrue="1">
      <formula>$E$17</formula>
    </cfRule>
  </conditionalFormatting>
  <conditionalFormatting sqref="D18">
    <cfRule type="cellIs" priority="21" dxfId="2" operator="equal" stopIfTrue="1">
      <formula>0</formula>
    </cfRule>
    <cfRule type="cellIs" priority="22" dxfId="0" operator="notEqual" stopIfTrue="1">
      <formula>$E$18</formula>
    </cfRule>
  </conditionalFormatting>
  <conditionalFormatting sqref="D19">
    <cfRule type="cellIs" priority="23" dxfId="2" operator="equal" stopIfTrue="1">
      <formula>0</formula>
    </cfRule>
    <cfRule type="cellIs" priority="24" dxfId="0" operator="notEqual" stopIfTrue="1">
      <formula>$E$19</formula>
    </cfRule>
  </conditionalFormatting>
  <conditionalFormatting sqref="D20">
    <cfRule type="cellIs" priority="25" dxfId="2" operator="equal" stopIfTrue="1">
      <formula>0</formula>
    </cfRule>
    <cfRule type="cellIs" priority="26" dxfId="0" operator="notEqual" stopIfTrue="1">
      <formula>$E$20</formula>
    </cfRule>
  </conditionalFormatting>
  <conditionalFormatting sqref="D21">
    <cfRule type="cellIs" priority="27" dxfId="2" operator="equal" stopIfTrue="1">
      <formula>0</formula>
    </cfRule>
    <cfRule type="cellIs" priority="28" dxfId="0" operator="notEqual" stopIfTrue="1">
      <formula>$E$21</formula>
    </cfRule>
  </conditionalFormatting>
  <conditionalFormatting sqref="D22">
    <cfRule type="cellIs" priority="29" dxfId="2" operator="equal" stopIfTrue="1">
      <formula>0</formula>
    </cfRule>
    <cfRule type="cellIs" priority="30" dxfId="0" operator="notEqual" stopIfTrue="1">
      <formula>$E$22</formula>
    </cfRule>
  </conditionalFormatting>
  <conditionalFormatting sqref="D23">
    <cfRule type="cellIs" priority="31" dxfId="2" operator="equal" stopIfTrue="1">
      <formula>0</formula>
    </cfRule>
    <cfRule type="cellIs" priority="32" dxfId="0" operator="notEqual" stopIfTrue="1">
      <formula>$E$23</formula>
    </cfRule>
  </conditionalFormatting>
  <conditionalFormatting sqref="D24">
    <cfRule type="cellIs" priority="33" dxfId="2" operator="equal" stopIfTrue="1">
      <formula>0</formula>
    </cfRule>
    <cfRule type="cellIs" priority="34" dxfId="0" operator="notEqual" stopIfTrue="1">
      <formula>$E$24</formula>
    </cfRule>
  </conditionalFormatting>
  <conditionalFormatting sqref="D25">
    <cfRule type="cellIs" priority="35" dxfId="2" operator="equal" stopIfTrue="1">
      <formula>0</formula>
    </cfRule>
    <cfRule type="cellIs" priority="36" dxfId="0" operator="notEqual" stopIfTrue="1">
      <formula>$E$25</formula>
    </cfRule>
  </conditionalFormatting>
  <conditionalFormatting sqref="D27">
    <cfRule type="cellIs" priority="37" dxfId="2" operator="equal" stopIfTrue="1">
      <formula>0</formula>
    </cfRule>
    <cfRule type="cellIs" priority="38" dxfId="0" operator="notEqual" stopIfTrue="1">
      <formula>$E$27</formula>
    </cfRule>
  </conditionalFormatting>
  <conditionalFormatting sqref="D28">
    <cfRule type="cellIs" priority="39" dxfId="2" operator="equal" stopIfTrue="1">
      <formula>0</formula>
    </cfRule>
    <cfRule type="cellIs" priority="40" dxfId="0" operator="notEqual" stopIfTrue="1">
      <formula>$E$28</formula>
    </cfRule>
  </conditionalFormatting>
  <conditionalFormatting sqref="D29">
    <cfRule type="cellIs" priority="41" dxfId="2" operator="equal" stopIfTrue="1">
      <formula>0</formula>
    </cfRule>
    <cfRule type="cellIs" priority="42" dxfId="0" operator="notEqual" stopIfTrue="1">
      <formula>$E$29</formula>
    </cfRule>
  </conditionalFormatting>
  <conditionalFormatting sqref="D30">
    <cfRule type="cellIs" priority="43" dxfId="2" operator="equal" stopIfTrue="1">
      <formula>0</formula>
    </cfRule>
    <cfRule type="cellIs" priority="44" dxfId="0" operator="notEqual" stopIfTrue="1">
      <formula>$E$30</formula>
    </cfRule>
  </conditionalFormatting>
  <conditionalFormatting sqref="D31">
    <cfRule type="cellIs" priority="45" dxfId="2" operator="equal" stopIfTrue="1">
      <formula>0</formula>
    </cfRule>
    <cfRule type="cellIs" priority="46" dxfId="0" operator="notEqual" stopIfTrue="1">
      <formula>$E$31</formula>
    </cfRule>
  </conditionalFormatting>
  <conditionalFormatting sqref="D32">
    <cfRule type="cellIs" priority="47" dxfId="2" operator="equal" stopIfTrue="1">
      <formula>0</formula>
    </cfRule>
    <cfRule type="cellIs" priority="48" dxfId="0" operator="notEqual" stopIfTrue="1">
      <formula>$E$32</formula>
    </cfRule>
  </conditionalFormatting>
  <conditionalFormatting sqref="D34">
    <cfRule type="cellIs" priority="49" dxfId="2" operator="equal" stopIfTrue="1">
      <formula>0</formula>
    </cfRule>
    <cfRule type="cellIs" priority="50" dxfId="0" operator="notEqual" stopIfTrue="1">
      <formula>$E$34</formula>
    </cfRule>
  </conditionalFormatting>
  <conditionalFormatting sqref="D35">
    <cfRule type="cellIs" priority="51" dxfId="2" operator="equal" stopIfTrue="1">
      <formula>0</formula>
    </cfRule>
    <cfRule type="cellIs" priority="52" dxfId="0" operator="notEqual" stopIfTrue="1">
      <formula>$E$35</formula>
    </cfRule>
  </conditionalFormatting>
  <conditionalFormatting sqref="D36">
    <cfRule type="cellIs" priority="53" dxfId="2" operator="equal" stopIfTrue="1">
      <formula>0</formula>
    </cfRule>
    <cfRule type="cellIs" priority="54" dxfId="0" operator="notEqual" stopIfTrue="1">
      <formula>$E$36</formula>
    </cfRule>
  </conditionalFormatting>
  <conditionalFormatting sqref="D37">
    <cfRule type="cellIs" priority="55" dxfId="2" operator="equal" stopIfTrue="1">
      <formula>0</formula>
    </cfRule>
    <cfRule type="cellIs" priority="56" dxfId="0" operator="notEqual" stopIfTrue="1">
      <formula>$E$37</formula>
    </cfRule>
  </conditionalFormatting>
  <conditionalFormatting sqref="D38">
    <cfRule type="cellIs" priority="57" dxfId="2" operator="equal" stopIfTrue="1">
      <formula>0</formula>
    </cfRule>
    <cfRule type="cellIs" priority="58" dxfId="0" operator="notEqual" stopIfTrue="1">
      <formula>$E$38</formula>
    </cfRule>
  </conditionalFormatting>
  <conditionalFormatting sqref="D39">
    <cfRule type="cellIs" priority="59" dxfId="2" operator="equal" stopIfTrue="1">
      <formula>0</formula>
    </cfRule>
    <cfRule type="cellIs" priority="60" dxfId="0" operator="notEqual" stopIfTrue="1">
      <formula>$E$39</formula>
    </cfRule>
  </conditionalFormatting>
  <conditionalFormatting sqref="D40">
    <cfRule type="cellIs" priority="61" dxfId="2" operator="equal" stopIfTrue="1">
      <formula>0</formula>
    </cfRule>
    <cfRule type="cellIs" priority="62" dxfId="0" operator="notEqual" stopIfTrue="1">
      <formula>$E$40</formula>
    </cfRule>
  </conditionalFormatting>
  <conditionalFormatting sqref="D41">
    <cfRule type="cellIs" priority="63" dxfId="2" operator="equal" stopIfTrue="1">
      <formula>0</formula>
    </cfRule>
    <cfRule type="cellIs" priority="64" dxfId="0" operator="notEqual" stopIfTrue="1">
      <formula>$E$41</formula>
    </cfRule>
  </conditionalFormatting>
  <conditionalFormatting sqref="D42">
    <cfRule type="cellIs" priority="65" dxfId="2" operator="equal" stopIfTrue="1">
      <formula>0</formula>
    </cfRule>
    <cfRule type="cellIs" priority="66" dxfId="0" operator="notEqual" stopIfTrue="1">
      <formula>$E$42</formula>
    </cfRule>
  </conditionalFormatting>
  <conditionalFormatting sqref="D43">
    <cfRule type="cellIs" priority="67" dxfId="2" operator="equal" stopIfTrue="1">
      <formula>0</formula>
    </cfRule>
    <cfRule type="cellIs" priority="68" dxfId="0" operator="notEqual" stopIfTrue="1">
      <formula>$E$43</formula>
    </cfRule>
  </conditionalFormatting>
  <conditionalFormatting sqref="D44">
    <cfRule type="cellIs" priority="69" dxfId="2" operator="equal" stopIfTrue="1">
      <formula>0</formula>
    </cfRule>
    <cfRule type="cellIs" priority="70" dxfId="0" operator="notEqual" stopIfTrue="1">
      <formula>$E$44</formula>
    </cfRule>
  </conditionalFormatting>
  <conditionalFormatting sqref="D8">
    <cfRule type="cellIs" priority="71" dxfId="2" operator="equal" stopIfTrue="1">
      <formula>0</formula>
    </cfRule>
    <cfRule type="cellIs" priority="72" dxfId="0" operator="notEqual" stopIfTrue="1">
      <formula>$E$8</formula>
    </cfRule>
  </conditionalFormatting>
  <conditionalFormatting sqref="D9">
    <cfRule type="cellIs" priority="73" dxfId="2" operator="equal" stopIfTrue="1">
      <formula>0</formula>
    </cfRule>
    <cfRule type="cellIs" priority="74" dxfId="0" operator="notEqual" stopIfTrue="1">
      <formula>$E$9</formula>
    </cfRule>
  </conditionalFormatting>
  <conditionalFormatting sqref="D10">
    <cfRule type="cellIs" priority="75" dxfId="2" operator="equal" stopIfTrue="1">
      <formula>0</formula>
    </cfRule>
    <cfRule type="cellIs" priority="76" dxfId="0" operator="notEqual" stopIfTrue="1">
      <formula>$E$10</formula>
    </cfRule>
  </conditionalFormatting>
  <printOptions/>
  <pageMargins left="0.75" right="0.75" top="1" bottom="1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Dudler</dc:creator>
  <cp:keywords/>
  <dc:description/>
  <cp:lastModifiedBy>wolfgang</cp:lastModifiedBy>
  <cp:lastPrinted>2008-04-25T13:13:21Z</cp:lastPrinted>
  <dcterms:created xsi:type="dcterms:W3CDTF">2001-06-22T12:54:20Z</dcterms:created>
  <dcterms:modified xsi:type="dcterms:W3CDTF">2009-02-07T12:17:19Z</dcterms:modified>
  <cp:category/>
  <cp:version/>
  <cp:contentType/>
  <cp:contentStatus/>
</cp:coreProperties>
</file>